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20" windowWidth="15480" windowHeight="10980" activeTab="1"/>
  </bookViews>
  <sheets>
    <sheet name="Отчет_ТАБЛ 1" sheetId="1" r:id="rId1"/>
    <sheet name="Отчет_ТАБЛ 2" sheetId="3" r:id="rId2"/>
  </sheets>
  <definedNames>
    <definedName name="sub_10004" localSheetId="0">'Отчет_ТАБЛ 1'!#REF!</definedName>
    <definedName name="sub_10006" localSheetId="0">'Отчет_ТАБЛ 1'!#REF!</definedName>
    <definedName name="sub_10008" localSheetId="0">'Отчет_ТАБЛ 1'!#REF!</definedName>
    <definedName name="_xlnm.Print_Titles" localSheetId="0">'Отчет_ТАБЛ 1'!$8:$9</definedName>
    <definedName name="_xlnm.Print_Titles" localSheetId="1">'Отчет_ТАБЛ 2'!$2:$3</definedName>
    <definedName name="_xlnm.Print_Area" localSheetId="0">'Отчет_ТАБЛ 1'!$A$2:$K$209</definedName>
    <definedName name="_xlnm.Print_Area" localSheetId="1">'Отчет_ТАБЛ 2'!$A$1:$G$278</definedName>
  </definedNames>
  <calcPr calcId="124519"/>
</workbook>
</file>

<file path=xl/calcChain.xml><?xml version="1.0" encoding="utf-8"?>
<calcChain xmlns="http://schemas.openxmlformats.org/spreadsheetml/2006/main">
  <c r="G24" i="3"/>
  <c r="G23"/>
  <c r="G11"/>
  <c r="G9" s="1"/>
  <c r="E277" l="1"/>
  <c r="E278"/>
  <c r="E266"/>
  <c r="E270"/>
  <c r="E271"/>
  <c r="E272"/>
  <c r="E273"/>
  <c r="E274"/>
  <c r="E256"/>
  <c r="E258"/>
  <c r="E262"/>
  <c r="E230"/>
  <c r="E221"/>
  <c r="E222"/>
  <c r="E208"/>
  <c r="E197"/>
  <c r="E198"/>
  <c r="E201"/>
  <c r="E202"/>
  <c r="E185"/>
  <c r="E186"/>
  <c r="E195"/>
  <c r="E196"/>
  <c r="E172"/>
  <c r="E173"/>
  <c r="E174"/>
  <c r="E176"/>
  <c r="E177"/>
  <c r="E178"/>
  <c r="E180"/>
  <c r="E181"/>
  <c r="E182"/>
  <c r="E184"/>
  <c r="E157"/>
  <c r="E158"/>
  <c r="E159"/>
  <c r="E161"/>
  <c r="E162"/>
  <c r="E164"/>
  <c r="E165"/>
  <c r="E166"/>
  <c r="E168"/>
  <c r="E169"/>
  <c r="E170"/>
  <c r="E153"/>
  <c r="E154"/>
  <c r="E155"/>
  <c r="E139"/>
  <c r="E140"/>
  <c r="E141"/>
  <c r="E117"/>
  <c r="E118"/>
  <c r="E103"/>
  <c r="E104"/>
  <c r="E105"/>
  <c r="E88"/>
  <c r="E89"/>
  <c r="E90"/>
  <c r="E92"/>
  <c r="E94"/>
  <c r="E96"/>
  <c r="E98"/>
  <c r="E99"/>
  <c r="E100"/>
  <c r="E101"/>
  <c r="E102"/>
  <c r="E72"/>
  <c r="E73"/>
  <c r="E74"/>
  <c r="E76"/>
  <c r="E77"/>
  <c r="E78"/>
  <c r="E80"/>
  <c r="E81"/>
  <c r="E82"/>
  <c r="E84"/>
  <c r="E85"/>
  <c r="E86"/>
  <c r="E60"/>
  <c r="E61"/>
  <c r="E62"/>
  <c r="E63"/>
  <c r="E64"/>
  <c r="E65"/>
  <c r="E66"/>
  <c r="E67"/>
  <c r="E68"/>
  <c r="E69"/>
  <c r="E70"/>
  <c r="E47"/>
  <c r="E48"/>
  <c r="E49"/>
  <c r="E51"/>
  <c r="E52"/>
  <c r="E53"/>
  <c r="E55"/>
  <c r="E56"/>
  <c r="E57"/>
  <c r="E58"/>
  <c r="E6"/>
  <c r="E8"/>
  <c r="E10"/>
  <c r="E11"/>
  <c r="E12"/>
  <c r="E13"/>
  <c r="E14"/>
  <c r="E15"/>
  <c r="E16"/>
  <c r="E17"/>
  <c r="E18"/>
  <c r="E23"/>
  <c r="E24"/>
  <c r="E32"/>
  <c r="E34"/>
  <c r="E35"/>
  <c r="E39"/>
  <c r="E40"/>
  <c r="E41"/>
  <c r="E43"/>
  <c r="E44"/>
  <c r="E45"/>
  <c r="E187" i="1"/>
  <c r="E178"/>
  <c r="E172"/>
  <c r="E143"/>
  <c r="E137"/>
  <c r="E132"/>
  <c r="E87"/>
  <c r="E81"/>
  <c r="E76"/>
  <c r="E71"/>
  <c r="E63"/>
  <c r="E62"/>
  <c r="E61"/>
  <c r="I197"/>
  <c r="I196" s="1"/>
  <c r="I192"/>
  <c r="I190"/>
  <c r="I186"/>
  <c r="I165"/>
  <c r="I164"/>
  <c r="I152"/>
  <c r="I151"/>
  <c r="I149"/>
  <c r="I143"/>
  <c r="I137"/>
  <c r="I130"/>
  <c r="I128"/>
  <c r="I126"/>
  <c r="I118"/>
  <c r="I95"/>
  <c r="I86"/>
  <c r="I81"/>
  <c r="I33"/>
  <c r="I30"/>
  <c r="I12"/>
  <c r="G19" i="3" s="1"/>
  <c r="E19" s="1"/>
  <c r="K149" i="1" l="1"/>
  <c r="J149"/>
  <c r="E60"/>
  <c r="K110"/>
  <c r="J110"/>
  <c r="G209" i="3" l="1"/>
  <c r="E209" s="1"/>
  <c r="G185"/>
  <c r="G184"/>
  <c r="G177"/>
  <c r="G176"/>
  <c r="G146"/>
  <c r="E146" s="1"/>
  <c r="G145"/>
  <c r="E145" s="1"/>
  <c r="G141"/>
  <c r="G140"/>
  <c r="G139"/>
  <c r="G137"/>
  <c r="E137" s="1"/>
  <c r="G136"/>
  <c r="E136" s="1"/>
  <c r="G89"/>
  <c r="G88"/>
  <c r="G85"/>
  <c r="G84"/>
  <c r="G22"/>
  <c r="E22" s="1"/>
  <c r="G14"/>
  <c r="G13"/>
  <c r="G10"/>
  <c r="G163" i="1"/>
  <c r="G162"/>
  <c r="G126"/>
  <c r="G149"/>
  <c r="G147"/>
  <c r="G145"/>
  <c r="G141"/>
  <c r="G139"/>
  <c r="G136"/>
  <c r="G135"/>
  <c r="G134"/>
  <c r="G131"/>
  <c r="G143"/>
  <c r="G137"/>
  <c r="G132"/>
  <c r="D76"/>
  <c r="G183" i="3"/>
  <c r="E183" s="1"/>
  <c r="K133" i="1"/>
  <c r="J133"/>
  <c r="K147"/>
  <c r="J147"/>
  <c r="K145"/>
  <c r="J145"/>
  <c r="K141"/>
  <c r="J141"/>
  <c r="K139"/>
  <c r="J139"/>
  <c r="K143"/>
  <c r="K130"/>
  <c r="G138" i="3"/>
  <c r="E138" s="1"/>
  <c r="J30" i="1"/>
  <c r="K165" l="1"/>
  <c r="K30"/>
  <c r="I94"/>
  <c r="J137"/>
  <c r="J143"/>
  <c r="J130"/>
  <c r="I11"/>
  <c r="G5" i="3" s="1"/>
  <c r="K137" i="1"/>
  <c r="J165"/>
  <c r="B167" i="3"/>
  <c r="B50"/>
  <c r="B71"/>
  <c r="F58" l="1"/>
  <c r="G160" i="1"/>
  <c r="H95"/>
  <c r="G48"/>
  <c r="G47"/>
  <c r="G58"/>
  <c r="K58"/>
  <c r="J58"/>
  <c r="H12" l="1"/>
  <c r="H11" l="1"/>
  <c r="F19" i="3"/>
  <c r="D87" i="1"/>
  <c r="D62"/>
  <c r="D63"/>
  <c r="D61"/>
  <c r="G87" l="1"/>
  <c r="G63"/>
  <c r="G62"/>
  <c r="G61"/>
  <c r="D60"/>
  <c r="G234" i="3"/>
  <c r="G235"/>
  <c r="F235"/>
  <c r="F233" s="1"/>
  <c r="F246" s="1"/>
  <c r="F269" s="1"/>
  <c r="F234"/>
  <c r="F232" s="1"/>
  <c r="F245" s="1"/>
  <c r="F268" s="1"/>
  <c r="G220"/>
  <c r="E220" s="1"/>
  <c r="G223"/>
  <c r="G227"/>
  <c r="G228"/>
  <c r="E228" s="1"/>
  <c r="G229"/>
  <c r="E229" s="1"/>
  <c r="F230"/>
  <c r="F229"/>
  <c r="F228"/>
  <c r="F227"/>
  <c r="F226" s="1"/>
  <c r="F219" s="1"/>
  <c r="F243" s="1"/>
  <c r="F239" s="1"/>
  <c r="F223"/>
  <c r="F217" s="1"/>
  <c r="F241" s="1"/>
  <c r="F220"/>
  <c r="A215"/>
  <c r="F211"/>
  <c r="F205" s="1"/>
  <c r="F213" s="1"/>
  <c r="F264" s="1"/>
  <c r="G211"/>
  <c r="E211" s="1"/>
  <c r="G206"/>
  <c r="E206" s="1"/>
  <c r="F206"/>
  <c r="F214" s="1"/>
  <c r="F265" s="1"/>
  <c r="G210"/>
  <c r="E210" s="1"/>
  <c r="F210"/>
  <c r="F207"/>
  <c r="G196"/>
  <c r="G197"/>
  <c r="G198"/>
  <c r="G201"/>
  <c r="G202"/>
  <c r="F202"/>
  <c r="F201"/>
  <c r="F198"/>
  <c r="F197"/>
  <c r="F196"/>
  <c r="F180"/>
  <c r="G180"/>
  <c r="F181"/>
  <c r="G181"/>
  <c r="F182"/>
  <c r="G182"/>
  <c r="F183"/>
  <c r="G175"/>
  <c r="E175" s="1"/>
  <c r="F175"/>
  <c r="G166"/>
  <c r="G159" s="1"/>
  <c r="G165"/>
  <c r="G164"/>
  <c r="G157" s="1"/>
  <c r="F166"/>
  <c r="F159" s="1"/>
  <c r="F165"/>
  <c r="F158" s="1"/>
  <c r="F164"/>
  <c r="F157" s="1"/>
  <c r="G160"/>
  <c r="E160" s="1"/>
  <c r="G167"/>
  <c r="E167" s="1"/>
  <c r="G171"/>
  <c r="E171" s="1"/>
  <c r="F160"/>
  <c r="F167"/>
  <c r="F171"/>
  <c r="G147"/>
  <c r="E147" s="1"/>
  <c r="G148"/>
  <c r="E148" s="1"/>
  <c r="G149"/>
  <c r="E149" s="1"/>
  <c r="G150"/>
  <c r="E150" s="1"/>
  <c r="G151"/>
  <c r="E151" s="1"/>
  <c r="G152"/>
  <c r="E152" s="1"/>
  <c r="F152"/>
  <c r="F151"/>
  <c r="F150"/>
  <c r="F114" s="1"/>
  <c r="F110" s="1"/>
  <c r="F149"/>
  <c r="F148"/>
  <c r="F147"/>
  <c r="G144"/>
  <c r="E144" s="1"/>
  <c r="F144"/>
  <c r="G143"/>
  <c r="E143" s="1"/>
  <c r="F143"/>
  <c r="G142"/>
  <c r="E142" s="1"/>
  <c r="F142"/>
  <c r="F138"/>
  <c r="G135"/>
  <c r="E135" s="1"/>
  <c r="F135"/>
  <c r="G130"/>
  <c r="E130" s="1"/>
  <c r="G131"/>
  <c r="E131" s="1"/>
  <c r="G132"/>
  <c r="E132" s="1"/>
  <c r="G133"/>
  <c r="E133" s="1"/>
  <c r="G134"/>
  <c r="E134" s="1"/>
  <c r="F134"/>
  <c r="F133"/>
  <c r="F132"/>
  <c r="F131"/>
  <c r="F130"/>
  <c r="F112" s="1"/>
  <c r="F192" s="1"/>
  <c r="G119"/>
  <c r="E119" s="1"/>
  <c r="G120"/>
  <c r="E120" s="1"/>
  <c r="G121"/>
  <c r="E121" s="1"/>
  <c r="G122"/>
  <c r="E122" s="1"/>
  <c r="G123"/>
  <c r="E123" s="1"/>
  <c r="G124"/>
  <c r="E124" s="1"/>
  <c r="G125"/>
  <c r="E125" s="1"/>
  <c r="G126"/>
  <c r="E126" s="1"/>
  <c r="G127"/>
  <c r="E127" s="1"/>
  <c r="G128"/>
  <c r="E128" s="1"/>
  <c r="G129"/>
  <c r="E129" s="1"/>
  <c r="F126"/>
  <c r="F129"/>
  <c r="F128"/>
  <c r="F127"/>
  <c r="F125"/>
  <c r="F124"/>
  <c r="F123"/>
  <c r="F122"/>
  <c r="F121"/>
  <c r="F120"/>
  <c r="F119"/>
  <c r="G116"/>
  <c r="E116" s="1"/>
  <c r="G96"/>
  <c r="G97"/>
  <c r="E97" s="1"/>
  <c r="F97"/>
  <c r="F257" s="1"/>
  <c r="F96"/>
  <c r="F256" s="1"/>
  <c r="G87"/>
  <c r="E87" s="1"/>
  <c r="G83"/>
  <c r="E83" s="1"/>
  <c r="G64"/>
  <c r="G65"/>
  <c r="G66"/>
  <c r="G68"/>
  <c r="G69"/>
  <c r="G70"/>
  <c r="G71"/>
  <c r="E71" s="1"/>
  <c r="G75"/>
  <c r="E75" s="1"/>
  <c r="G79"/>
  <c r="E79" s="1"/>
  <c r="F69"/>
  <c r="F100" s="1"/>
  <c r="F70"/>
  <c r="F101" s="1"/>
  <c r="F274" s="1"/>
  <c r="F68"/>
  <c r="F99" s="1"/>
  <c r="F65"/>
  <c r="F104" s="1"/>
  <c r="F66"/>
  <c r="F105" s="1"/>
  <c r="F278" s="1"/>
  <c r="F64"/>
  <c r="F103" s="1"/>
  <c r="F71"/>
  <c r="F75"/>
  <c r="F79"/>
  <c r="F83"/>
  <c r="F87"/>
  <c r="G226" l="1"/>
  <c r="E227"/>
  <c r="G232"/>
  <c r="E234"/>
  <c r="G217"/>
  <c r="E223"/>
  <c r="G233"/>
  <c r="E235"/>
  <c r="G100"/>
  <c r="G256"/>
  <c r="G114"/>
  <c r="E114" s="1"/>
  <c r="G257"/>
  <c r="F113"/>
  <c r="F272"/>
  <c r="F277"/>
  <c r="F255"/>
  <c r="G60" i="1"/>
  <c r="F267" i="3"/>
  <c r="F252"/>
  <c r="G252"/>
  <c r="E252" s="1"/>
  <c r="F273"/>
  <c r="F271"/>
  <c r="F263"/>
  <c r="G225"/>
  <c r="F225"/>
  <c r="F218" s="1"/>
  <c r="F237"/>
  <c r="G205"/>
  <c r="E205" s="1"/>
  <c r="G214"/>
  <c r="G194"/>
  <c r="E194" s="1"/>
  <c r="F260"/>
  <c r="F95"/>
  <c r="F195"/>
  <c r="F194"/>
  <c r="F254" s="1"/>
  <c r="F250" s="1"/>
  <c r="G195"/>
  <c r="G158"/>
  <c r="F115"/>
  <c r="G110"/>
  <c r="E110" s="1"/>
  <c r="G113"/>
  <c r="E113" s="1"/>
  <c r="G112"/>
  <c r="E112" s="1"/>
  <c r="G115"/>
  <c r="E115" s="1"/>
  <c r="G95"/>
  <c r="E95" s="1"/>
  <c r="F94"/>
  <c r="G104"/>
  <c r="G99"/>
  <c r="G103"/>
  <c r="G101"/>
  <c r="G105"/>
  <c r="F92"/>
  <c r="F98"/>
  <c r="F93"/>
  <c r="F102"/>
  <c r="F67"/>
  <c r="F63"/>
  <c r="G63"/>
  <c r="F60"/>
  <c r="F62"/>
  <c r="G67"/>
  <c r="G62"/>
  <c r="G61"/>
  <c r="G60"/>
  <c r="F61"/>
  <c r="G54"/>
  <c r="E54" s="1"/>
  <c r="F54"/>
  <c r="G50"/>
  <c r="E50" s="1"/>
  <c r="F50"/>
  <c r="G46"/>
  <c r="E46" s="1"/>
  <c r="F46"/>
  <c r="G42"/>
  <c r="E42" s="1"/>
  <c r="F42"/>
  <c r="G38"/>
  <c r="E38" s="1"/>
  <c r="F38"/>
  <c r="G37"/>
  <c r="E37" s="1"/>
  <c r="F37"/>
  <c r="G36"/>
  <c r="E36" s="1"/>
  <c r="F36"/>
  <c r="G33"/>
  <c r="E33" s="1"/>
  <c r="F33"/>
  <c r="F32"/>
  <c r="G31"/>
  <c r="E31" s="1"/>
  <c r="F31"/>
  <c r="G30"/>
  <c r="F30"/>
  <c r="G29"/>
  <c r="E29" s="1"/>
  <c r="F29"/>
  <c r="G28"/>
  <c r="E28" s="1"/>
  <c r="F28"/>
  <c r="G26"/>
  <c r="E26" s="1"/>
  <c r="G27"/>
  <c r="E27" s="1"/>
  <c r="F27"/>
  <c r="F26"/>
  <c r="G21"/>
  <c r="E21" s="1"/>
  <c r="F21"/>
  <c r="F20"/>
  <c r="F22"/>
  <c r="G6"/>
  <c r="G7"/>
  <c r="E7" s="1"/>
  <c r="G8"/>
  <c r="E9"/>
  <c r="G12"/>
  <c r="G15"/>
  <c r="F15"/>
  <c r="F12"/>
  <c r="F9"/>
  <c r="F8"/>
  <c r="F7"/>
  <c r="F6"/>
  <c r="G231"/>
  <c r="H196" i="1"/>
  <c r="F231" i="3" s="1"/>
  <c r="F244" s="1"/>
  <c r="K199" i="1"/>
  <c r="J199"/>
  <c r="G199"/>
  <c r="G189"/>
  <c r="G179"/>
  <c r="G178"/>
  <c r="H170"/>
  <c r="G172"/>
  <c r="G179" i="3"/>
  <c r="E179" s="1"/>
  <c r="H164" i="1"/>
  <c r="F179" i="3" s="1"/>
  <c r="G165" i="1"/>
  <c r="K160"/>
  <c r="J160"/>
  <c r="F163" i="3"/>
  <c r="G244" l="1"/>
  <c r="E244" s="1"/>
  <c r="E231"/>
  <c r="G265"/>
  <c r="E265" s="1"/>
  <c r="E214"/>
  <c r="G25"/>
  <c r="E30"/>
  <c r="G218"/>
  <c r="E225"/>
  <c r="G246"/>
  <c r="E233"/>
  <c r="G241"/>
  <c r="E217"/>
  <c r="G245"/>
  <c r="E232"/>
  <c r="G219"/>
  <c r="E226"/>
  <c r="G255"/>
  <c r="E255" s="1"/>
  <c r="E257"/>
  <c r="G278"/>
  <c r="G277"/>
  <c r="G274"/>
  <c r="G272"/>
  <c r="G273"/>
  <c r="G192"/>
  <c r="G271"/>
  <c r="G156"/>
  <c r="E156" s="1"/>
  <c r="G163"/>
  <c r="E163" s="1"/>
  <c r="K164" i="1"/>
  <c r="I181"/>
  <c r="G216" i="3" s="1"/>
  <c r="G224"/>
  <c r="E224" s="1"/>
  <c r="G190"/>
  <c r="E190" s="1"/>
  <c r="G254"/>
  <c r="F190"/>
  <c r="F242"/>
  <c r="F238" s="1"/>
  <c r="F236" s="1"/>
  <c r="F253"/>
  <c r="G242"/>
  <c r="G93"/>
  <c r="E93" s="1"/>
  <c r="G213"/>
  <c r="G200"/>
  <c r="F109"/>
  <c r="F193"/>
  <c r="F261" s="1"/>
  <c r="F259" s="1"/>
  <c r="G193"/>
  <c r="F108"/>
  <c r="F200"/>
  <c r="F276" s="1"/>
  <c r="F275" s="1"/>
  <c r="F111"/>
  <c r="G111"/>
  <c r="E111" s="1"/>
  <c r="G108"/>
  <c r="E108" s="1"/>
  <c r="G109"/>
  <c r="E109" s="1"/>
  <c r="G92"/>
  <c r="F91"/>
  <c r="G98"/>
  <c r="G94"/>
  <c r="G102"/>
  <c r="J164" i="1"/>
  <c r="H151"/>
  <c r="G107" i="3"/>
  <c r="G261" l="1"/>
  <c r="E261" s="1"/>
  <c r="E193"/>
  <c r="G264"/>
  <c r="E213"/>
  <c r="G238"/>
  <c r="E242"/>
  <c r="G250"/>
  <c r="E250" s="1"/>
  <c r="E254"/>
  <c r="G276"/>
  <c r="E200"/>
  <c r="G240"/>
  <c r="E240" s="1"/>
  <c r="E216"/>
  <c r="G243"/>
  <c r="E219"/>
  <c r="G268"/>
  <c r="E245"/>
  <c r="E241"/>
  <c r="G237"/>
  <c r="E237" s="1"/>
  <c r="G269"/>
  <c r="E269" s="1"/>
  <c r="E246"/>
  <c r="G253"/>
  <c r="E253" s="1"/>
  <c r="E218"/>
  <c r="E25"/>
  <c r="G20"/>
  <c r="G260"/>
  <c r="E260" s="1"/>
  <c r="E192"/>
  <c r="G259"/>
  <c r="E259" s="1"/>
  <c r="G251"/>
  <c r="E251" s="1"/>
  <c r="H94" i="1"/>
  <c r="F116" i="3"/>
  <c r="K151" i="1"/>
  <c r="F156" i="3"/>
  <c r="F249"/>
  <c r="G248"/>
  <c r="E248" s="1"/>
  <c r="G249"/>
  <c r="E249" s="1"/>
  <c r="F248"/>
  <c r="F251"/>
  <c r="G189"/>
  <c r="E189" s="1"/>
  <c r="G191"/>
  <c r="E191" s="1"/>
  <c r="F188"/>
  <c r="F199"/>
  <c r="G199"/>
  <c r="E199" s="1"/>
  <c r="G188"/>
  <c r="E188" s="1"/>
  <c r="F189"/>
  <c r="F191"/>
  <c r="G91"/>
  <c r="E91" s="1"/>
  <c r="J151" i="1"/>
  <c r="G124"/>
  <c r="G116"/>
  <c r="G114"/>
  <c r="G112"/>
  <c r="G110"/>
  <c r="E20" i="3" l="1"/>
  <c r="E268"/>
  <c r="G267"/>
  <c r="E267" s="1"/>
  <c r="G239"/>
  <c r="E239" s="1"/>
  <c r="E243"/>
  <c r="G275"/>
  <c r="E275" s="1"/>
  <c r="E276"/>
  <c r="G236"/>
  <c r="E236" s="1"/>
  <c r="E238"/>
  <c r="G263"/>
  <c r="E263" s="1"/>
  <c r="E264"/>
  <c r="G247"/>
  <c r="E247" s="1"/>
  <c r="F247"/>
  <c r="F187"/>
  <c r="G187"/>
  <c r="E187" s="1"/>
  <c r="I59" i="1"/>
  <c r="H59"/>
  <c r="G65"/>
  <c r="G64"/>
  <c r="G90"/>
  <c r="G89"/>
  <c r="G88"/>
  <c r="G85"/>
  <c r="G84"/>
  <c r="G83"/>
  <c r="D81"/>
  <c r="G75"/>
  <c r="G74"/>
  <c r="G73"/>
  <c r="D71"/>
  <c r="G80"/>
  <c r="G79"/>
  <c r="G78"/>
  <c r="G69"/>
  <c r="G70"/>
  <c r="G68"/>
  <c r="G59" i="3" l="1"/>
  <c r="E59" s="1"/>
  <c r="G81" i="1"/>
  <c r="G76"/>
  <c r="G45"/>
  <c r="G32"/>
  <c r="G31"/>
  <c r="G25"/>
  <c r="K23"/>
  <c r="J23"/>
  <c r="G23"/>
  <c r="E5" i="3"/>
  <c r="K46" i="1"/>
  <c r="J46"/>
  <c r="K43"/>
  <c r="J43"/>
  <c r="G44" l="1"/>
  <c r="G100" l="1"/>
  <c r="G102"/>
  <c r="G104"/>
  <c r="G98"/>
  <c r="G71"/>
  <c r="G15"/>
  <c r="G66" l="1"/>
  <c r="G38"/>
  <c r="G194" l="1"/>
  <c r="G192"/>
  <c r="G190"/>
  <c r="G187"/>
  <c r="G184"/>
  <c r="G182"/>
  <c r="G174"/>
  <c r="G173"/>
  <c r="G176"/>
  <c r="G152"/>
  <c r="G122"/>
  <c r="G120"/>
  <c r="H186" l="1"/>
  <c r="I170"/>
  <c r="I207" s="1"/>
  <c r="G204" i="3" l="1"/>
  <c r="H181" i="1"/>
  <c r="H207" s="1"/>
  <c r="F224" i="3"/>
  <c r="K35" i="1"/>
  <c r="J35"/>
  <c r="K33"/>
  <c r="J33"/>
  <c r="K98"/>
  <c r="J98"/>
  <c r="K96"/>
  <c r="J96"/>
  <c r="K102"/>
  <c r="J102"/>
  <c r="K100"/>
  <c r="J100"/>
  <c r="K104"/>
  <c r="J104"/>
  <c r="K112"/>
  <c r="J112"/>
  <c r="K118"/>
  <c r="J118"/>
  <c r="K120"/>
  <c r="J120"/>
  <c r="K177"/>
  <c r="J177"/>
  <c r="K192"/>
  <c r="J192"/>
  <c r="K190"/>
  <c r="J190"/>
  <c r="K187"/>
  <c r="J187"/>
  <c r="J184"/>
  <c r="K184"/>
  <c r="K116"/>
  <c r="J116"/>
  <c r="K108"/>
  <c r="J108"/>
  <c r="K106"/>
  <c r="J106"/>
  <c r="K37"/>
  <c r="J37"/>
  <c r="K26"/>
  <c r="J26"/>
  <c r="K17"/>
  <c r="J17"/>
  <c r="K182"/>
  <c r="J186"/>
  <c r="G33"/>
  <c r="G35"/>
  <c r="G29"/>
  <c r="G28"/>
  <c r="G27"/>
  <c r="G96"/>
  <c r="G106"/>
  <c r="E204" i="3" l="1"/>
  <c r="G212"/>
  <c r="E212" s="1"/>
  <c r="F216"/>
  <c r="F240" s="1"/>
  <c r="G207"/>
  <c r="E207" s="1"/>
  <c r="J182" i="1"/>
  <c r="K186"/>
  <c r="K181" l="1"/>
  <c r="J181"/>
  <c r="J175"/>
  <c r="K175"/>
  <c r="K152" l="1"/>
  <c r="J152"/>
  <c r="K128" l="1"/>
  <c r="J128"/>
  <c r="E107" i="3"/>
  <c r="G14" i="1"/>
  <c r="F202"/>
  <c r="K76" l="1"/>
  <c r="J76"/>
  <c r="K86"/>
  <c r="J86"/>
  <c r="K15"/>
  <c r="J15"/>
  <c r="K126"/>
  <c r="J126"/>
  <c r="K81"/>
  <c r="J81"/>
  <c r="K114"/>
  <c r="J114"/>
  <c r="F59" i="3" l="1"/>
  <c r="K59" i="1"/>
  <c r="J59"/>
  <c r="G197" l="1"/>
  <c r="K197"/>
  <c r="F5" i="3"/>
  <c r="J197" i="1" l="1"/>
  <c r="K196" l="1"/>
  <c r="J196"/>
  <c r="F204" i="3" l="1"/>
  <c r="F212" s="1"/>
  <c r="F107" l="1"/>
  <c r="G206" i="1" l="1"/>
  <c r="F206"/>
  <c r="G205"/>
  <c r="F205"/>
  <c r="G204"/>
  <c r="F204"/>
  <c r="G203"/>
  <c r="F203"/>
  <c r="G202"/>
  <c r="F207" l="1"/>
  <c r="K94"/>
  <c r="J94"/>
  <c r="K170"/>
  <c r="J170"/>
  <c r="K11"/>
  <c r="J11"/>
  <c r="K171"/>
  <c r="J171"/>
  <c r="J207" l="1"/>
  <c r="G13"/>
  <c r="K12" l="1"/>
  <c r="J12"/>
  <c r="K95" l="1"/>
  <c r="J95"/>
  <c r="I208"/>
  <c r="J208" l="1"/>
  <c r="K208"/>
  <c r="K207"/>
  <c r="E209" l="1"/>
  <c r="F209" s="1"/>
</calcChain>
</file>

<file path=xl/sharedStrings.xml><?xml version="1.0" encoding="utf-8"?>
<sst xmlns="http://schemas.openxmlformats.org/spreadsheetml/2006/main" count="1238" uniqueCount="289">
  <si>
    <t>ОТЧЕТ</t>
  </si>
  <si>
    <t>ЗАКАЗЧИК:</t>
  </si>
  <si>
    <t>№ п/п</t>
  </si>
  <si>
    <t>Плановое значение целевого показателя (индикатора)</t>
  </si>
  <si>
    <t>Фактическое значение целевого показателя (индикатора)</t>
  </si>
  <si>
    <t>Итого:</t>
  </si>
  <si>
    <t>-</t>
  </si>
  <si>
    <t>Ед.
изм.</t>
  </si>
  <si>
    <t>Источник финансирования</t>
  </si>
  <si>
    <t>Общий объем  расходов</t>
  </si>
  <si>
    <t>шт.</t>
  </si>
  <si>
    <t>Фактический объем расходов на реализацию мероприятий программы по годам (тыс.руб.), в т.ч.</t>
  </si>
  <si>
    <t>УПРАВЛЕНИЕ ОБРАЗОВАНИЯ АДМИНИСТРАЦИИ ГОРОДА ОРЕНБУРГА</t>
  </si>
  <si>
    <t>чел.</t>
  </si>
  <si>
    <t>тыс.чел.</t>
  </si>
  <si>
    <t>ед.</t>
  </si>
  <si>
    <t>1.</t>
  </si>
  <si>
    <t>2.</t>
  </si>
  <si>
    <t>%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</si>
  <si>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</si>
  <si>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</si>
  <si>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</si>
  <si>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</si>
  <si>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</si>
  <si>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</si>
  <si>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</si>
  <si>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</si>
  <si>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</si>
  <si>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бюджет города</t>
  </si>
  <si>
    <t>областной бюджет</t>
  </si>
  <si>
    <t>всего:</t>
  </si>
  <si>
    <t>федеральный бюджет</t>
  </si>
  <si>
    <t>КУИ</t>
  </si>
  <si>
    <t>УО</t>
  </si>
  <si>
    <t>мест</t>
  </si>
  <si>
    <t>Таблица 1.  Оценка эффективности реализации программы</t>
  </si>
  <si>
    <t>Таблица 2. Фактический объем финансирования расходов на реализацию муниципальной программы</t>
  </si>
  <si>
    <t>Наименование основного мероприятия, 
целевого показателя (индикатора)</t>
  </si>
  <si>
    <t>Уровень достижения целевого показателя (индикатора) конечного результата, %
гр. 5 / гр. 4</t>
  </si>
  <si>
    <t>Абсолютное отклонение значений целевых показателей (индикаторов),
гр. 5 - гр. 4</t>
  </si>
  <si>
    <t>Плановый объем расходов,
тыс. руб.</t>
  </si>
  <si>
    <t>Фактический объем расходов,
тыс. руб.</t>
  </si>
  <si>
    <t>Уровень освоения финансовых средств, %,
гр. 9/гр. 8</t>
  </si>
  <si>
    <t>Абсолютное отклонение в объемах расходов,
тыс. руб.
(гр. 9 - гр. 8)</t>
  </si>
  <si>
    <t>Целевые показатели (индикаторы) конечного результата:</t>
  </si>
  <si>
    <t xml:space="preserve">Наименование основного мероприятия                         </t>
  </si>
  <si>
    <t>Ответственный исполнитель, соисполнитель</t>
  </si>
  <si>
    <t>Задача 1. Обеспечение доступности качественного дошкольного образования</t>
  </si>
  <si>
    <t>1.1.</t>
  </si>
  <si>
    <t>2.1.</t>
  </si>
  <si>
    <t>4.1.</t>
  </si>
  <si>
    <t>численность учащихся, охваченных горячим питанием, чьи родители (законные представители) награждены муниципальной наградой - медалью "Материнство", муниципальным знаком "Медаль "Материнство"</t>
  </si>
  <si>
    <t>тыс. чел.</t>
  </si>
  <si>
    <t>улучшение технического состояния зданий ДОО и (или) их территорий (проектные, экспертные, ремонтные, в том числе капитальные, монтажные, строительные работы, работы по реконструкции, противоаварийные мероприятия, благоустройство территории, проведение детально-инструментального обследования, инженерно-геологических изысканий, приобретение материалов и прочие расходы, направленные на улучшение технического состояния зданий ДОО и (или) их территорий)</t>
  </si>
  <si>
    <t>обеспечение получения дошкольного образования в частных дошкольных образовательных организациях</t>
  </si>
  <si>
    <t>уплата налога на имущество, находящееся в муниципальной собственности</t>
  </si>
  <si>
    <t>дотация на повышение оплаты труда работников до уровня минимального размера оплаты труда</t>
  </si>
  <si>
    <t>5.2.</t>
  </si>
  <si>
    <t>5.1.</t>
  </si>
  <si>
    <t>Задача 4. Обеспечение реализации функций органов местного самоуправления в сфере образования</t>
  </si>
  <si>
    <t>9.1.</t>
  </si>
  <si>
    <t>исполнение функций управления образования администрации города Оренбурга</t>
  </si>
  <si>
    <t>организация и проведение управлением образования администрации города Оренбурга официальных и праздничных мероприятий</t>
  </si>
  <si>
    <t>выплаты на содержание детей в замещающих семьях</t>
  </si>
  <si>
    <t>выплаты единовременного пособия при всех формах устройства детей, лишенных родительского попечения, в семью</t>
  </si>
  <si>
    <t>выплаты компенсации части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</si>
  <si>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9.2.</t>
  </si>
  <si>
    <t>10.1.</t>
  </si>
  <si>
    <t>количество ДОО, в которых улучшено техническое состояние зданий и (или) их территорий в рамках наказов избирателей депутатам Оренбургского городского Совета и социально значимых мероприятий</t>
  </si>
  <si>
    <t>1.4.</t>
  </si>
  <si>
    <t>УСДХ</t>
  </si>
  <si>
    <t>4.2.</t>
  </si>
  <si>
    <t>4.3.</t>
  </si>
  <si>
    <t>4.4.</t>
  </si>
  <si>
    <t>4.5.</t>
  </si>
  <si>
    <t>4.6.</t>
  </si>
  <si>
    <t>4.7.</t>
  </si>
  <si>
    <t>4.8.</t>
  </si>
  <si>
    <t>УО, ООО</t>
  </si>
  <si>
    <t>Основное мероприятие "Региональный проект "Содействие занятости женщин - создание условий дошкольного образования для детей в возрасте "до 3 лет</t>
  </si>
  <si>
    <t>Основное мероприятие "Региональный проект "Современная школа"</t>
  </si>
  <si>
    <t>Основное мероприятие "Приоритетный проект Оренбургской области "Создание универсальной безбарьерной среды для инклюзивного образования детей-инвалидов"</t>
  </si>
  <si>
    <t>о ходе реализации в 2020 году муниципальной программы «Доступное образование в городе Оренбурге»</t>
  </si>
  <si>
    <t>Задача 1. Обеспечение качества общедоступного дошкольного образования</t>
  </si>
  <si>
    <t>Основное мероприятие "Организация предоставления общедоступного дошкольного образования, присмотра и ухода за детьми"</t>
  </si>
  <si>
    <t>обеспечение пожарной безопасности в ДОО (оснащение современными комплексами инженерно-технических систем обеспечения безопасности (проектирование, приобретение, монтаж оборудования, модернизация и ремонт ранее установленного АПС, ОДС, СОУЭ); обеспечение безаварийной работы систем электроснабжения (проектирование, реконструкция, капитальный ремонт, ремонтные, монтажные работы и иные мероприятия); содержание в исправном состоянии эвакуационных путей и выходов в соответствии с требованиями безопасной эвакуации людей при пожаре (приведение путей эвакуации и эвакуационных выходов в соответствие с требованиями пожарной безопасности, проведение расчетов оценки пожарных рисков)</t>
  </si>
  <si>
    <t>обеспечение антитеррористической защищенности в ДОО (проектирование, установка и монтаж видеонаблюдения, видеодомофонов, включая приобретение необходимого оборудования, материальных запасов; устройство, реконструкция, ремонт и иные мероприятия, направленные на восстановление целостности ограждения)</t>
  </si>
  <si>
    <t>прочие расходы, связанные с проектированием и строительством зданий ДОО</t>
  </si>
  <si>
    <t>1.3.</t>
  </si>
  <si>
    <t>обеспечение получения детьми-инвалидами дошкольного образования, а также компенсация затрат родителей (законных представителей) на обучение детей-инвалидов на дому</t>
  </si>
  <si>
    <t>1.2.</t>
  </si>
  <si>
    <t>1.5.</t>
  </si>
  <si>
    <t>1.6.</t>
  </si>
  <si>
    <t>1.7.</t>
  </si>
  <si>
    <t>исполнение социально значимых мероприятий (проектные, экспертные, монтажные, ремонтные (в том числе капитальные) работы, приобретение основных средств и материалов)</t>
  </si>
  <si>
    <t>1.8.</t>
  </si>
  <si>
    <t>приобретение нежилого отдельно стоящего здания, помещения в целях реализации мероприятий по созданию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14б микрорайоне СВЖР г. Оренбурга (детского сада на 300 мест)</t>
  </si>
  <si>
    <t>1.9.</t>
  </si>
  <si>
    <t>1.10.</t>
  </si>
  <si>
    <t>1.11.</t>
  </si>
  <si>
    <t>1.12.</t>
  </si>
  <si>
    <t>строительство детского сада на 300 мест в мкр. ЖК "Дубки" г. Оренбурга</t>
  </si>
  <si>
    <t>строительство детского сада на 300 мест в 15Б мкр. СВЖР г. Оренбурга</t>
  </si>
  <si>
    <t>строительство детского сада на 220 мест в микрорайоне "поселок Ростоши" г. Оренбурга (в т.ч. ПИР)</t>
  </si>
  <si>
    <t>количество муниципальных ДОО города Оренбурга, применяющих программы, соответствующие требованиям федерального государственного образовательного стандарта</t>
  </si>
  <si>
    <t>предоставление дошкольного образования, присмотр и уход за детьми</t>
  </si>
  <si>
    <t>численность детей, получающих дошкольное образование в муниципальных ОО города Оренбурга</t>
  </si>
  <si>
    <t>тыс. чел.</t>
  </si>
  <si>
    <t>количество муниципальных ДОО города Оренбурга, в которых улучшено техническое состояние зданий и (или) их территорий, из них:</t>
  </si>
  <si>
    <t>количество муниципальных ДОО, в которых улучшено техническое состояние зданий и (или) их территорий, которыми приобретены основные средства и материалы в рамках наказов избирателей депутатам Оренбургского городского Совета</t>
  </si>
  <si>
    <t>количество муниципальных ДОО города Оренбурга, в которых проведены противопожарные мероприятия</t>
  </si>
  <si>
    <t>количество муниципальных ДОО города Оренбурга, в которых проведены антитеррористические мероприятия</t>
  </si>
  <si>
    <t>количество проведенных экспертиз сметной документации при проведении проектирования и строительства зданий в муниципальных ДОО</t>
  </si>
  <si>
    <t>количество полученных технологических присоединений к инженерным сетям и технических условий на вынос (переустройство) инженерных сетей при проведении проектирования и строительства зданий муниципальных ДОО</t>
  </si>
  <si>
    <r>
      <t xml:space="preserve">количество частных ДОО, расположенных на территории муниципального образования "город Оренбург", применяющих программы, соответствующие требованиям федерального государственного образовательного </t>
    </r>
    <r>
      <rPr>
        <sz val="11"/>
        <color rgb="FF000000"/>
        <rFont val="Times New Roman"/>
        <family val="1"/>
        <charset val="204"/>
      </rPr>
      <t>стандарта</t>
    </r>
    <r>
      <rPr>
        <sz val="11"/>
        <color theme="1"/>
        <rFont val="Times New Roman"/>
        <family val="1"/>
        <charset val="204"/>
      </rPr>
      <t>, из них:</t>
    </r>
  </si>
  <si>
    <t>социально ориентированных некоммерческих ДОО</t>
  </si>
  <si>
    <t>численность детей, получающих дошкольное образование в частных ДОО, расположенных на территории муниципального образования "город Оренбург"</t>
  </si>
  <si>
    <t>численность детей-инвалидов, получающих дошкольное образование в муниципальных ДОО города Оренбурга</t>
  </si>
  <si>
    <t>численность родителей (законных представителей), получающих компенсацию затрат на обучение детей-инвалидов на дому</t>
  </si>
  <si>
    <t>количество муниципальных ДОО, оплачивающих налог на имущество, находящееся в муниципальной собственности</t>
  </si>
  <si>
    <t>количество созданных дополнительных мест в муниципальных ДОО города Оренбурга, из них:</t>
  </si>
  <si>
    <t>для детей в возрасте от 1,5 месяцев до 3 лет на компенсационной основе</t>
  </si>
  <si>
    <t>для детей в возрасте от 1,5 до 3 лет путем приобретения зданий муниципальных ДОО</t>
  </si>
  <si>
    <t>для детей в возрасте от 3 до 7 лет путем приобретения зданий муниципальных ДОО</t>
  </si>
  <si>
    <t>для детей в возрасте от 1,5 до 3 лет путем строительства зданий муниципальных ДОО</t>
  </si>
  <si>
    <t>для детей в возрасте от 3 до 7 лет путем строительства зданий муниципальных ДОО</t>
  </si>
  <si>
    <t>численность работников муниципальных ДОО, получающих заработную плату на уровне минимального размера оплаты труда</t>
  </si>
  <si>
    <t>Основное мероприятие "Региональный проект "Содействие занятости женщин - создание условий дошкольного образования для детей в возрасте до трех лет"</t>
  </si>
  <si>
    <t>строительство детского сада на 300 мест в ЖК "Времена года" г. Оренбурга (в т.ч. ПИР)</t>
  </si>
  <si>
    <t>строительство детского сада на 220 мест в микрорайоне "поселок Ростоши" г. Оренбурга (в т.ч. ПИР)</t>
  </si>
  <si>
    <t>2.2.</t>
  </si>
  <si>
    <t>2.3.</t>
  </si>
  <si>
    <t>2.4.</t>
  </si>
  <si>
    <t>2.5.</t>
  </si>
  <si>
    <t>приобретение нежилого отдельно стоящего здания, помещения, укомплектованного в соответствии с проектом, в целях реализации мероприятий по созданию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16 микрорайоне СВЖР г. Оренбурга (детского сада на 330 мест)</t>
  </si>
  <si>
    <t>приобретение нежилого отдельно стоящего здания, помещения в целях реализации мероприятий по созданию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14б микрорайоне СВЖР г. Оренбурга (детского сада на 300 мест)</t>
  </si>
  <si>
    <t>для детей в возрасте от 3 до 7 лет путем стротиельства зданий муниципальных ДОО</t>
  </si>
  <si>
    <t>Основное мероприятие "Освобождение налогоплательщиков от уплаты земельного налога в отношении земельных участков, безвозмездно переданных учрежденным ими дошкольным образовательным учреждениям во владение и пользование сроком не менее 25 лет, на которых расположены здания для размещения объектов образования, построенные ими в рамках соглашения с Администрацией города Оренбурга и используемые для осуществления уставной деятельности</t>
  </si>
  <si>
    <t>доля налогоплательщиков, получивших льготу по земельному налогу в отношении земельных участков, безвозмездно переданных учрежденным ими дошкольным образовательным учреждениям во владение и пользование сроком не менее 25 лет, на которых расположены здания для размещения объектов образования, построенные ими в рамках соглашения с Администрацией города Оренбурга и используемые для осуществления уставной деятельности в общем числе обратившихся, имеющих право на получение льготы по земельному налогу</t>
  </si>
  <si>
    <t>Задача 2. Обеспечение качества общедоступного начального общего, основного общего, среднего общего и дополнительного образования</t>
  </si>
  <si>
    <t>Основное мероприятие "Организация предоставления начального общего, основного общего, среднего общего и дополнительного образования детям", в том числе:</t>
  </si>
  <si>
    <t>численность воспитанников, проживающих в городе Оренбурге, в возрасте до 3 лет, посещающих муниципальные ОО города Оренбурга, осуществляющие образовательную деятельность по образовательным программам дошкольного образования и осуществляющие присмотр и уход</t>
  </si>
  <si>
    <t>численность воспитанников, проживающих в городе Оренбурге, в возрасте до 3 лет, посещающих частные организации, расположенные на территории муниципального образования "город Оренбург", осуществляющие образовательную деятельность по образовательным программам дошкольного образования и осуществляющие присмотр и уход</t>
  </si>
  <si>
    <t>количество созданных дополнительных мест в муниципальных ДОО города Оренбурга:</t>
  </si>
  <si>
    <t>численность детей, получающих начальное общее, основное общее, среднее общее и дополнительное образование</t>
  </si>
  <si>
    <r>
      <t xml:space="preserve">количество муниципальных ООО и ОДОД, применяющих программы, соответствующие требованиям </t>
    </r>
    <r>
      <rPr>
        <sz val="14"/>
        <color rgb="FF000000"/>
        <rFont val="Times New Roman"/>
        <family val="1"/>
        <charset val="204"/>
      </rPr>
      <t>стандартов</t>
    </r>
    <r>
      <rPr>
        <sz val="14"/>
        <color theme="1"/>
        <rFont val="Times New Roman"/>
        <family val="1"/>
        <charset val="204"/>
      </rPr>
      <t xml:space="preserve"> начального общего, основного общего, среднего общего и дополнительного образования</t>
    </r>
  </si>
  <si>
    <t>выплата учащимся общеобразовательных организаций муниципальных именных стипендий</t>
  </si>
  <si>
    <t>предоставление общеобразовательным организациям муниципального гранта "Лучшая школа города Оренбурга"</t>
  </si>
  <si>
    <t>численность учащихся ООО, получающих муниципальную именную стипендию</t>
  </si>
  <si>
    <t>количество ООО, получивших муниципальный грант "Лучшая школа города Оренбурга"</t>
  </si>
  <si>
    <t>выплата педагогам премий имени В.М. Барбазюка и имени А.И. Морозова</t>
  </si>
  <si>
    <t>предоставление учителям муниципального гранта "Лучший учитель города Оренбурга"</t>
  </si>
  <si>
    <t>выплата ежегодной премии руководителям ОО</t>
  </si>
  <si>
    <t>число педагогов, которым присуждены премии имени В.М. Барбазюка и имени А.И. Морозова</t>
  </si>
  <si>
    <t>число учителей, которым предоставлен муниципальный грант "Лучший учитель города Оренбурга"</t>
  </si>
  <si>
    <t>число руководителей образовательных организаций, получивших премию Администрации города Оренбурга</t>
  </si>
  <si>
    <t>улучшение технического состояния зданий ООО и (или) их территорий (проектные, экспертные, ремонтные, в том числе капитальные, монтажные, строительные работы, работы по реконструкции, противоаварийные мероприятия, благоустройство территории, проведение детально-инструментального обследования, инженерно-геологических изысканий, приобретение материалов и прочие расходы, направленные на улучшение технического состояния зданий ООО и (или) их территорий)</t>
  </si>
  <si>
    <t>количество муниципальных ООО, в которых улучшено техническое состояние зданий и (или) их территорий, которыми приобретены основные средства и материалы в рамках наказов избирателей депутатам Оренбургского городского Совета</t>
  </si>
  <si>
    <t>количество муниципальных ООО и ОДОД города Оренбурга, в которых улучшено техническое состояние зданий и (или) их территорий</t>
  </si>
  <si>
    <t>обеспечение пожарной безопасности в ООО (оснащение современными комплексами инженерно-технических систем обеспечения безопасности (проектирование, приобретение, монтаж оборудования, модернизация и ремонт ранее установленного АПС, ОДС, СОУЭ); обеспечение безаварийной работы систем электроснабжения (проектирование, реконструкция, капитальный ремонт, ремонтные, монтажные работы и иные мероприятия); содержание в исправном состоянии эвакуационных путей и выходов в соответствии с требованиями безопасной эвакуации людей при пожаре (приведение путей эвакуации, эвакуационных выходов в соответствие с требованиями пожарной безопасности, проведение расчетов оценки пожарных рисков)</t>
  </si>
  <si>
    <t>количество муниципальных ООО и ОДОД города Оренбурга, в которых проведены противопожарные мероприятия</t>
  </si>
  <si>
    <t>обеспечение антитеррористической защищенности в ООО (проектирование, установка и монтаж видеонаблюдения, видеодомофонов, включая приобретение необходимого оборудования, материальных запасов; устройство, реконструкция, ремонт и иные мероприятия, направленные на восстановление целостности ограждения)</t>
  </si>
  <si>
    <t>количество муниципальных ООО и ОДОД города Оренбурга, в которых проведены антитеррористические мероприятия</t>
  </si>
  <si>
    <t>строительство хоккейного корта в с. Краснохолм, ул. Строителей, д. 25</t>
  </si>
  <si>
    <t>количество проведенных экспертиз сметной документации при проведении проектирования и строительства зданий муниципальных ООО</t>
  </si>
  <si>
    <t>количество полученных технологических присоединений к инженерным сетям и технических условий на вынос (переустройство) инженерных сетей при проведении проектирования и строительства зданий муниципальных ООО</t>
  </si>
  <si>
    <t>прочие расходы, связанные с проектированием и строительством зданий ООО</t>
  </si>
  <si>
    <t>предоставление дополнительного образования</t>
  </si>
  <si>
    <t>предоставление начального общего, основного общего, среднего общего образования:</t>
  </si>
  <si>
    <t>улучшение технического состояния зданий ОДОД и (или) их территорий (проектные, экспертные, ремонтные, в том числе капитальные, монтажные, строительные работы, работы по реконструкции, противоаварийные мероприятия, благоустройство территории, проведение детально-инструментального обследования, инженерно-геологических изысканий, приобретение материалов и прочие расходы, направленные на улучшение технического состояния зданий ОДОД и (или) их территорий)</t>
  </si>
  <si>
    <t>выполнение наказов избирателей депутатами Оренбургского городского Совета (проектные, экспертные, монтажные, ремонтные (в том числе капитальные) работы, приобретение основных средств и материалов)</t>
  </si>
  <si>
    <t>обеспечение пожарной безопасности в ОДОД (оснащение современными комплексами инженерно-технических систем обеспечения безопасности (проектирование, приобретение, монтаж оборудования, модернизация и ремонт ранее установленного АПС, ОДС, СОУЭ); обеспечение безаварийной работы систем электроснабжения (проектирование, реконструкция, капитальный ремонт, ремонтные, монтажные работы и иные мероприятия); содержание в исправном состоянии эвакуационных путей и выходов в соответствии с требованиями безопасной эвакуации людей при пожаре (приведение путей эвакуации и эвакуационных выходов в соответствие с требованиями пожарной безопасности, проведение расчетов оценки пожарных рисков)</t>
  </si>
  <si>
    <t>обеспечение антитеррористической защищенности в ОДОД (проектирование, установка и монтаж видеонаблюдения, видеодомофонов, включая приобретение необходимого оборудования, материальных запасов; устройство, реконструкция, ремонт и иные мероприятия, направленные на восстановление целостности ограждения)</t>
  </si>
  <si>
    <t>финансирование мероприятий по организации питания обучающихся в муниципальных общеобразовательных организациях и предоставление компенсационных выплат на горячее питание детей, родители которых награждены муниципальной наградой - медалью "Материнство", муниципальным знаком "Медаль "Материнство"</t>
  </si>
  <si>
    <t>обеспечение получения начального общего, основного общего, среднего общего образования в муниципальных общеобразовательных организациях</t>
  </si>
  <si>
    <t>обеспечение получения начального общего, основного общего, среднего общего образования в частных общеобразовательных организациях</t>
  </si>
  <si>
    <t>дотация на повышение оплаты труда работникам до уровня минимального размера оплаты труда</t>
  </si>
  <si>
    <t>4.9.</t>
  </si>
  <si>
    <t>дотация на повышение оплаты труда педагогических работников дополнительного образования</t>
  </si>
  <si>
    <t>4.10.</t>
  </si>
  <si>
    <t>4.11.</t>
  </si>
  <si>
    <t>4.12.</t>
  </si>
  <si>
    <t>4.13.</t>
  </si>
  <si>
    <t>количество ООО, в которых проведены мероприятия по благоустройству зданий ООО в целях соблюдения воздушно-теплового режима, водоснабжения и канализации</t>
  </si>
  <si>
    <t>благоустройство зданий общеобразовательных организаций в целях соблюдения требований к воздушно-тепловому режиму, водоснабжению и канализации</t>
  </si>
  <si>
    <t>мероприятия, направленные на профилактику и устранение последствий распространения новой коронавирусной инфекции (COVID-19) в муниципальных образовательных организациях</t>
  </si>
  <si>
    <t>количество муниципальных ООО, в которых проведены мероприятия, направленные на профилактику и устранение последствий распространения новой коронавирусной инфекции (COVID-19)</t>
  </si>
  <si>
    <t>ежемесячное денежное вознаграждение за классное руководство педагогическим работникам муниципальных общеобразовательных учреждениях</t>
  </si>
  <si>
    <t>численность педагогических работников муниципальных ООО, получающих ежемесячное денежное вознаграждение за классное руководство из расчета 5000 руб. в месяц</t>
  </si>
  <si>
    <t>количество муниципальных ОДОД, в которых улучшено техническое состояние зданий и (или) их территорий, которыми приобретены основные средства и материалы в рамках социально значимых мероприятий</t>
  </si>
  <si>
    <t>численность педагогических работников муниципальных ОДОД, которым повышается средний размер заработной платы</t>
  </si>
  <si>
    <t>численность работников муниципальных ООО и ОДОД, получающих заработную плату на уровне минимального размера оплаты труда</t>
  </si>
  <si>
    <t>количество муниципальных ООО и ОДОД города Оренбурга, оплачивающих налог на имущество, находящееся в муниципальной собственности</t>
  </si>
  <si>
    <t>численность детей, получающих начальное общее, основное общее, среднее общее образование в частных ООО, расположенных на территории муниципального образования "город Оренбург"</t>
  </si>
  <si>
    <t>социально ориентированных некоммерческих ООО</t>
  </si>
  <si>
    <t>численность учащихся, охваченных горячим питанием, из них:</t>
  </si>
  <si>
    <t>финансовое обеспечение мероприятий по организации питания обучающихся в муниципальных общеобразовательных организациях</t>
  </si>
  <si>
    <t>количество муниципальных ОДОД, в которых улучшено техническое состояние зданий и (или) их территорий, которыми приобретены основные средства и материалы в рамках наказов избирателей депутатам Оренбургского городского Совета</t>
  </si>
  <si>
    <t>развитие инфраструктуры ООО (проведение капитального и (или) текущего ремонта, работ по реконструкции строительных, восстановительных работ, противоаварийных мероприятий в ООО и иных мероприятий, направленных на развитие инфраструктуры ООО)</t>
  </si>
  <si>
    <t>количество ООО, в которых проведены капитальный и (или) текущий ремонт, работы по реконструкции, строительные, восстановительные работы, противоаварийные мероприятия, и иные мероприятия, направленные на развитие инфраструктуры</t>
  </si>
  <si>
    <t>создание новых мест в ООО, капитальные вложения</t>
  </si>
  <si>
    <t>количество созданных новых мест в муниципальных ООО города Оренбурга</t>
  </si>
  <si>
    <t>5.2.1.</t>
  </si>
  <si>
    <t>строительство школы на 1135 мест, г. Оренбург, ул. Весенняя, п. Южный</t>
  </si>
  <si>
    <t>5.2.2.</t>
  </si>
  <si>
    <t>количество муниципальных ООО, в которых сформирована универсальная безбарьерная среда, позволяющая обеспечить совместное обучение детей-инвалидов и лиц, не имеющих нарушений развития</t>
  </si>
  <si>
    <t>7.1.</t>
  </si>
  <si>
    <t>Основное мероприятие "Региональный проект "Успех каждого ребенка"</t>
  </si>
  <si>
    <t>проведение капитального ремонта в спортивных залах ООО, расположенных в сельской местности, и создание условий для занятий физической культурой и спортом</t>
  </si>
  <si>
    <t>количество ООО, расположенных в сельской местности, в которых проведен капитальный ремонт в спортивных залах и созданы условия для занятий физической культурой и спортом</t>
  </si>
  <si>
    <t>Основное мероприятие "Освобождение налогоплательщиков от уплаты земельного налога в отношении земельных участков, безвозмездно переданных учрежденным ими общеобразовательным учреждениям во владение и пользование сроком не менее 25 лет, на которых расположены здания для размещения объектов образования, построенные ими в рамках соглашения с Администрацией города Оренбурга и используемые для осуществления уставной деятельности"</t>
  </si>
  <si>
    <t>доля налогоплательщиков, получивших льготу по земельному налогу в отношении земельных участков, безвозмездно переданных учрежденным ими общеобразовательным учреждениям во владение и пользование сроком не менее 25 лет, на которых расположены здания для размещения объектов образования, построенные ими в рамках соглашения с Администрацией города Оренбурга и используемые для осуществления уставной деятельности, в общем числе обратившихся, имеющих право на получение льготы по земельному налогу</t>
  </si>
  <si>
    <t>Задача 3. Обеспечение организации отдыха и оздоровления обучающихся в каникулярное время, оказание психолого-педагогической, методической помощи</t>
  </si>
  <si>
    <t>Основное мероприятие "Организация отдыха и оздоровления обучающихся в каникулярное время, оказание психолого-педагогической, методической помощи"</t>
  </si>
  <si>
    <t>организация отдыха и оздоровления детей в каникулярное время</t>
  </si>
  <si>
    <t>количество муниципальных ОО города Оренбурга, применяющих программы, соответствующие требованиям стандартов, по организации отдыха, оздоровления детей в каникулярное время и осуществляющих психолого-педагогическую, методическую помощь</t>
  </si>
  <si>
    <t>численность детей школьного возраста, получающих в каникулярное время услуги по отдыху и оздоровлению в муниципальных детских лагерях города Оренбурга</t>
  </si>
  <si>
    <t>численность детей школьного возраста, получивших государственную поддержку на отдых и оздоровление в каникулярное время в виде сертификата, компенсаций и (или) оздоровления в лагерях дневного пребывания за счет средств бюджета Оренбургской области</t>
  </si>
  <si>
    <t>9.1.1.</t>
  </si>
  <si>
    <t>мероприятия, направленные на профилактику и устранение последствий распространения новой коронавирусной инфекции (COVID-19)</t>
  </si>
  <si>
    <t>количество ОДОД, в которых проведены мероприятия, направленные на профилактику и устранение последствий распространения новой коронавирусной инфекции (COVID-19)</t>
  </si>
  <si>
    <t>оказание психолого-педагогической, методической помощи в образовательных организациях</t>
  </si>
  <si>
    <t>количество муниципальных ОО города Оренбурга, получающих методическую и психолого-педагогическую помощь</t>
  </si>
  <si>
    <t>численность детей, которым предоставлена методическая, психолого-педагогическая помощь</t>
  </si>
  <si>
    <t>Основное мероприятие "Обеспечение деятельности управления образования администрации города Оренбурга по исполнению полномочий Администрации города Оренбурга по решению вопросов местного значения в сфере образования города Оренбурга"</t>
  </si>
  <si>
    <t>10.2.</t>
  </si>
  <si>
    <t>10.3.</t>
  </si>
  <si>
    <t>обеспечение реализации отдельных переданных полномочий:</t>
  </si>
  <si>
    <t>10.3.1.</t>
  </si>
  <si>
    <t>10.3.2.</t>
  </si>
  <si>
    <t>10.3.3.</t>
  </si>
  <si>
    <t>количество организаций, обеспечивающих реализацию функций органов местного самоуправления в сфере образования</t>
  </si>
  <si>
    <t>количество организованных официальных и праздничных мероприятий в сфере образования</t>
  </si>
  <si>
    <t>численность детей, находящихся под опекой (попечительством)</t>
  </si>
  <si>
    <t>численность детей, находящихся в приемной семье</t>
  </si>
  <si>
    <t>численность детей, впервые устроенных в приемную семью или оформленных под опеку (попечительство)</t>
  </si>
  <si>
    <t>количество организаций, обеспечивающих реализацию функций органов местного самоуправления в сфере образования, оплачивающих налог на имущество, находящееся в муниципальной собственности</t>
  </si>
  <si>
    <t>численность детей, посещающих образовательные организации, реализующие образовательную программу дошкольного образования, родители (законные представители) которых получают компенсацию части родительской платы</t>
  </si>
  <si>
    <t>Основное мероприятие "Финансовое сопровождение деятельности образовательных организаций, выполняемое МКУ "Управление по обеспечению финансово-хозяйственной деятельности образовательных учреждений"</t>
  </si>
  <si>
    <t>11.1.</t>
  </si>
  <si>
    <t>11.2.</t>
  </si>
  <si>
    <t>обеспечение сопровождения финансово-хозяйственной деятельности образовательных организаций</t>
  </si>
  <si>
    <t>количество организаций, в отношении которых МКУ "Управление по обеспечению финансово-хозяйственной деятельности образовательных учреждений" осуществляет финансовое сопровождение деятельности</t>
  </si>
  <si>
    <t>количество организаций, обеспечивающих финансовое сопровождение деятельности организаций, оплачивающих налог на имущество, находящееся в муниципальной собственности</t>
  </si>
  <si>
    <t>Лимит бюджетных обязательств (ЛБО), утв. ГРБС на 31.12.2020</t>
  </si>
  <si>
    <r>
      <t>Эффективность реализации программы в целом (Э</t>
    </r>
    <r>
      <rPr>
        <b/>
        <i/>
        <vertAlign val="subscript"/>
        <sz val="16"/>
        <rFont val="Times New Roman"/>
        <family val="1"/>
        <charset val="204"/>
      </rPr>
      <t>Пр</t>
    </r>
    <r>
      <rPr>
        <b/>
        <sz val="16"/>
        <rFont val="Times New Roman"/>
        <family val="1"/>
        <charset val="204"/>
      </rPr>
      <t>), %</t>
    </r>
  </si>
  <si>
    <t>Доля численности воспитанников, получающих дошкольное образование в муниципальных и частных ДОО города Оренбурга, в общей численности детей в возрасте от 1 до 6 лет, проживающих на территории муниципального образования "город Оренбург"</t>
  </si>
  <si>
    <t>Доля численности воспитанников в возрасте от 1,5 до 3 лет, получающих дошкольное образование в муниципальных и частных дошкольных образовательных организациях города Оренбурга, в общей численности воспитанников, посещающих муниципальные и частные дошкольные образовательные организации города Оренбурга</t>
  </si>
  <si>
    <t>Доля численности обучающихся, получивших документ об основном общем и среднем общем образовании, в общей численности обучающихся, участвующих в государственной итоговой аттестации</t>
  </si>
  <si>
    <t>Сохранение сети ОДОД</t>
  </si>
  <si>
    <t>Сохранение сети загородных лагерей и лагерей дневного пребывания</t>
  </si>
  <si>
    <t>2020
план</t>
  </si>
  <si>
    <t>2020
факт</t>
  </si>
  <si>
    <t>всего</t>
  </si>
  <si>
    <t>УО, ООО, ДОО</t>
  </si>
  <si>
    <t>улучшение технического состояния зданий ДОО и (или) их территорий</t>
  </si>
  <si>
    <t>выполнение наказов избирателей депутатами Оренбургского городского Совета</t>
  </si>
  <si>
    <t>обеспечение пожарной безопасности в ДОО</t>
  </si>
  <si>
    <t>обеспечение антитеррористической защищенности в ДОО</t>
  </si>
  <si>
    <t>Всего по задаче 1, в том числе по исполнителям и источникам финансирования:</t>
  </si>
  <si>
    <t>УО, ООО, ОДОД</t>
  </si>
  <si>
    <t>улучшение технического состояния зданий ООО и (или) их территорий</t>
  </si>
  <si>
    <t>обеспечение пожарной безопасности в ООО</t>
  </si>
  <si>
    <t xml:space="preserve">обеспечение антитеррористической защищенности в ООО </t>
  </si>
  <si>
    <t>УО, ОДОД</t>
  </si>
  <si>
    <t>улучшение технического состояния зданий ОДОД и (или) их территорий</t>
  </si>
  <si>
    <t>обеспечение пожарной безопасности в ОДОД</t>
  </si>
  <si>
    <t>обеспечение антитеррористической защищенности в ОДОД</t>
  </si>
  <si>
    <t>УСДХ, КУИ</t>
  </si>
  <si>
    <t>Всего по задаче 2, в том числе по исполнителям и источникам финансирования:</t>
  </si>
  <si>
    <t>УО, ООО, ОДОД, ТПМПК</t>
  </si>
  <si>
    <t>ТПМПК</t>
  </si>
  <si>
    <t>Всего по задаче 3, в том числе по исполнителям и источникам финансирования:</t>
  </si>
  <si>
    <t>10.4.</t>
  </si>
  <si>
    <t>УОФХДОУ</t>
  </si>
  <si>
    <t>Всего по задаче 4, в том числе по исполнителям и источникам финансирования:</t>
  </si>
  <si>
    <t>Всего по программе, в том числе по исполнителям и источникам финансирования:</t>
  </si>
  <si>
    <t>количество созданных дополнительных мест</t>
  </si>
  <si>
    <t>в ред. ПАГ от 29.01.2021 №183-п</t>
  </si>
  <si>
    <t>мероприятия, направленные на профилактику и устранение последствий распространения новой короновирусной инфекции (COVID-19) в муниципальных образовательных организациях</t>
  </si>
  <si>
    <t xml:space="preserve">приобретение нежилого отдельно стоящего здания, помещения в целях реализации мероприятий по созданию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пос. Пристанционный г.Оренбурга (детского сада на 140 мест) </t>
  </si>
  <si>
    <t>приобретение нежилого отдельно стоящего здания, помещения в целях реализации мероприятий по созданию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г.Оренбурге, микрорайоне, ограниченном улицами Терешковой, Рокоссовского, проспектом Победы (детского сада на 300 мест)</t>
  </si>
  <si>
    <t>приобретение екжилого отдельно стоящего здания. С целью ликвидации второй смены в общеобразовательных организациях в г. Оренбурге, Северо-Востоном жилом районе (приобретение школы на 1135 учащихся)</t>
  </si>
  <si>
    <t>строительство детского сада на 300 мест в мкр. ЖК "Дубки" г.Оренбурга</t>
  </si>
  <si>
    <t>строительство детского сада на 300 мест в 15Б мкр. СВЖР г.Оренбурга</t>
  </si>
  <si>
    <t>УО, ДОО</t>
  </si>
  <si>
    <t>доля образовательных организаций, в которых создана универсальная безбарьерная среда для инклюзивного образования детей-инвалидов, в общем количестве образовательных организаций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</si>
  <si>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</si>
  <si>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r>
      <t xml:space="preserve">количество частных ООО, расположенных на территории муниципального образования "город Оренбург", применяющих программы, соответствующие требованиям федерального государственного образовательного </t>
    </r>
    <r>
      <rPr>
        <sz val="14"/>
        <color rgb="FF000000"/>
        <rFont val="Times New Roman"/>
        <family val="1"/>
        <charset val="204"/>
      </rPr>
      <t>стандарта</t>
    </r>
    <r>
      <rPr>
        <sz val="14"/>
        <color theme="1"/>
        <rFont val="Times New Roman"/>
        <family val="1"/>
        <charset val="204"/>
      </rPr>
      <t>, из них:</t>
    </r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</si>
</sst>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"/>
    <numFmt numFmtId="166" formatCode="0.0"/>
    <numFmt numFmtId="167" formatCode="#,##0.000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vertAlign val="subscript"/>
      <sz val="16"/>
      <name val="Times New Roman"/>
      <family val="1"/>
      <charset val="204"/>
    </font>
    <font>
      <sz val="2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0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vertical="top"/>
    </xf>
    <xf numFmtId="165" fontId="2" fillId="2" borderId="1" xfId="1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 indent="1"/>
      <protection hidden="1"/>
    </xf>
    <xf numFmtId="0" fontId="2" fillId="2" borderId="1" xfId="0" applyFont="1" applyFill="1" applyBorder="1" applyAlignment="1">
      <alignment horizontal="left" vertical="top" wrapText="1" indent="1"/>
    </xf>
    <xf numFmtId="0" fontId="7" fillId="2" borderId="1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left" vertical="top" inden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 vertical="top"/>
      <protection hidden="1"/>
    </xf>
    <xf numFmtId="0" fontId="2" fillId="2" borderId="1" xfId="0" applyFont="1" applyFill="1" applyBorder="1" applyAlignment="1">
      <alignment vertical="top"/>
    </xf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1" xfId="0" applyFont="1" applyFill="1" applyBorder="1" applyAlignment="1">
      <alignment horizontal="left" vertical="top" wrapText="1" indent="1"/>
    </xf>
    <xf numFmtId="165" fontId="2" fillId="2" borderId="4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vertical="top"/>
    </xf>
    <xf numFmtId="3" fontId="2" fillId="2" borderId="3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  <protection hidden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164" fontId="4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top" indent="1"/>
    </xf>
    <xf numFmtId="0" fontId="5" fillId="2" borderId="13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indent="1"/>
    </xf>
    <xf numFmtId="0" fontId="5" fillId="2" borderId="0" xfId="0" applyFont="1" applyFill="1" applyBorder="1"/>
    <xf numFmtId="0" fontId="5" fillId="2" borderId="5" xfId="0" applyFont="1" applyFill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indent="1"/>
    </xf>
    <xf numFmtId="0" fontId="5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0" fontId="2" fillId="2" borderId="13" xfId="0" applyFont="1" applyFill="1" applyBorder="1" applyAlignment="1">
      <alignment horizontal="left" vertical="top" wrapText="1" indent="1"/>
    </xf>
    <xf numFmtId="165" fontId="2" fillId="2" borderId="3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 indent="1"/>
    </xf>
    <xf numFmtId="0" fontId="2" fillId="2" borderId="8" xfId="0" applyFont="1" applyFill="1" applyBorder="1" applyAlignment="1">
      <alignment horizontal="left" vertical="top" indent="1"/>
    </xf>
    <xf numFmtId="165" fontId="2" fillId="2" borderId="5" xfId="0" applyNumberFormat="1" applyFont="1" applyFill="1" applyBorder="1" applyAlignment="1">
      <alignment horizontal="right" vertical="top"/>
    </xf>
    <xf numFmtId="165" fontId="3" fillId="2" borderId="3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64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indent="1"/>
    </xf>
    <xf numFmtId="0" fontId="5" fillId="2" borderId="1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indent="1"/>
    </xf>
    <xf numFmtId="0" fontId="5" fillId="2" borderId="7" xfId="0" applyFont="1" applyFill="1" applyBorder="1" applyAlignment="1">
      <alignment horizontal="left" vertical="top" wrapText="1" indent="1"/>
    </xf>
    <xf numFmtId="165" fontId="5" fillId="2" borderId="1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top" indent="1"/>
    </xf>
    <xf numFmtId="3" fontId="2" fillId="2" borderId="3" xfId="0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9" fontId="2" fillId="2" borderId="3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 indent="1"/>
    </xf>
    <xf numFmtId="165" fontId="2" fillId="2" borderId="3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left" vertical="top" wrapText="1" inden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 applyProtection="1">
      <alignment vertical="top"/>
      <protection hidden="1"/>
    </xf>
    <xf numFmtId="4" fontId="14" fillId="2" borderId="0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horizontal="right" vertical="top" wrapText="1"/>
    </xf>
    <xf numFmtId="167" fontId="2" fillId="2" borderId="0" xfId="0" applyNumberFormat="1" applyFont="1" applyFill="1" applyBorder="1"/>
    <xf numFmtId="0" fontId="2" fillId="2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 inden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0" xfId="0" applyNumberFormat="1" applyFont="1" applyFill="1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3" xfId="1" applyNumberFormat="1" applyFont="1" applyFill="1" applyBorder="1" applyAlignment="1">
      <alignment horizontal="center" vertical="top" wrapText="1"/>
    </xf>
    <xf numFmtId="4" fontId="2" fillId="2" borderId="4" xfId="1" applyNumberFormat="1" applyFont="1" applyFill="1" applyBorder="1" applyAlignment="1">
      <alignment horizontal="center" vertical="top" wrapText="1"/>
    </xf>
    <xf numFmtId="4" fontId="2" fillId="2" borderId="5" xfId="1" applyNumberFormat="1" applyFont="1" applyFill="1" applyBorder="1" applyAlignment="1">
      <alignment horizontal="center" vertical="top" wrapText="1"/>
    </xf>
    <xf numFmtId="164" fontId="2" fillId="2" borderId="3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4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5" xfId="1" applyNumberFormat="1" applyFont="1" applyFill="1" applyBorder="1" applyAlignment="1" applyProtection="1">
      <alignment horizontal="center" vertical="top" wrapText="1"/>
      <protection hidden="1"/>
    </xf>
    <xf numFmtId="4" fontId="2" fillId="0" borderId="3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1" xfId="1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2" borderId="3" xfId="1" applyNumberFormat="1" applyFont="1" applyFill="1" applyBorder="1" applyAlignment="1">
      <alignment horizontal="center" vertical="center"/>
    </xf>
    <xf numFmtId="9" fontId="2" fillId="2" borderId="5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9" fontId="2" fillId="2" borderId="3" xfId="1" applyFont="1" applyFill="1" applyBorder="1" applyAlignment="1" applyProtection="1">
      <alignment horizontal="center" vertical="center" wrapText="1"/>
      <protection hidden="1"/>
    </xf>
    <xf numFmtId="9" fontId="2" fillId="2" borderId="4" xfId="1" applyFont="1" applyFill="1" applyBorder="1" applyAlignment="1" applyProtection="1">
      <alignment horizontal="center" vertical="center" wrapText="1"/>
      <protection hidden="1"/>
    </xf>
    <xf numFmtId="9" fontId="2" fillId="2" borderId="5" xfId="1" applyFont="1" applyFill="1" applyBorder="1" applyAlignment="1" applyProtection="1">
      <alignment horizontal="center" vertical="center" wrapText="1"/>
      <protection hidden="1"/>
    </xf>
    <xf numFmtId="4" fontId="2" fillId="0" borderId="4" xfId="0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166" fontId="4" fillId="2" borderId="1" xfId="1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left" vertical="top" wrapText="1" indent="1"/>
    </xf>
    <xf numFmtId="0" fontId="5" fillId="2" borderId="14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indent="1"/>
    </xf>
    <xf numFmtId="0" fontId="2" fillId="2" borderId="4" xfId="0" applyFont="1" applyFill="1" applyBorder="1" applyAlignment="1">
      <alignment horizontal="left" vertical="top" indent="1"/>
    </xf>
    <xf numFmtId="0" fontId="2" fillId="2" borderId="5" xfId="0" applyFont="1" applyFill="1" applyBorder="1" applyAlignment="1">
      <alignment horizontal="left" vertical="top" indent="1"/>
    </xf>
    <xf numFmtId="0" fontId="5" fillId="2" borderId="3" xfId="0" applyFont="1" applyFill="1" applyBorder="1" applyAlignment="1">
      <alignment horizontal="left" vertical="top" indent="1"/>
    </xf>
    <xf numFmtId="0" fontId="5" fillId="2" borderId="4" xfId="0" applyFont="1" applyFill="1" applyBorder="1" applyAlignment="1">
      <alignment horizontal="left" vertical="top" indent="1"/>
    </xf>
    <xf numFmtId="0" fontId="5" fillId="2" borderId="5" xfId="0" applyFont="1" applyFill="1" applyBorder="1" applyAlignment="1">
      <alignment horizontal="left" vertical="top" indent="1"/>
    </xf>
    <xf numFmtId="0" fontId="5" fillId="2" borderId="5" xfId="0" applyFont="1" applyFill="1" applyBorder="1" applyAlignment="1">
      <alignment horizontal="center" vertical="top"/>
    </xf>
    <xf numFmtId="16" fontId="5" fillId="2" borderId="3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0" xfId="0" applyFont="1" applyFill="1" applyBorder="1" applyAlignment="1">
      <alignment horizontal="left" vertical="top" wrapText="1" indent="1"/>
    </xf>
    <xf numFmtId="0" fontId="2" fillId="2" borderId="14" xfId="0" applyFont="1" applyFill="1" applyBorder="1" applyAlignment="1">
      <alignment horizontal="left" vertical="top" wrapText="1" indent="1"/>
    </xf>
    <xf numFmtId="0" fontId="2" fillId="2" borderId="11" xfId="0" applyFont="1" applyFill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indent="1"/>
    </xf>
    <xf numFmtId="0" fontId="5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indent="2"/>
    </xf>
    <xf numFmtId="0" fontId="2" fillId="2" borderId="4" xfId="0" applyFont="1" applyFill="1" applyBorder="1" applyAlignment="1">
      <alignment horizontal="left" indent="2"/>
    </xf>
    <xf numFmtId="0" fontId="2" fillId="2" borderId="5" xfId="0" applyFont="1" applyFill="1" applyBorder="1" applyAlignment="1">
      <alignment horizontal="left" indent="2"/>
    </xf>
    <xf numFmtId="0" fontId="5" fillId="2" borderId="7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document/redirect/72945590/10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209"/>
  <sheetViews>
    <sheetView view="pageBreakPreview" zoomScale="70" zoomScaleNormal="73" zoomScaleSheetLayoutView="70" workbookViewId="0">
      <selection activeCell="A211" sqref="A211"/>
    </sheetView>
  </sheetViews>
  <sheetFormatPr defaultRowHeight="18.75"/>
  <cols>
    <col min="1" max="1" width="9" style="17" customWidth="1"/>
    <col min="2" max="2" width="91.5703125" style="33" customWidth="1"/>
    <col min="3" max="3" width="14.85546875" style="23" customWidth="1"/>
    <col min="4" max="4" width="16.140625" style="23" customWidth="1"/>
    <col min="5" max="5" width="17.42578125" style="3" customWidth="1"/>
    <col min="6" max="6" width="18.5703125" style="3" customWidth="1"/>
    <col min="7" max="7" width="19.7109375" style="3" customWidth="1"/>
    <col min="8" max="8" width="21.28515625" style="3" customWidth="1"/>
    <col min="9" max="9" width="21.85546875" style="3" customWidth="1"/>
    <col min="10" max="10" width="17.85546875" style="3" customWidth="1"/>
    <col min="11" max="11" width="19.7109375" style="3" customWidth="1"/>
    <col min="12" max="12" width="16" style="7" bestFit="1" customWidth="1"/>
    <col min="13" max="13" width="9.140625" style="7"/>
    <col min="14" max="14" width="61.85546875" style="7" customWidth="1"/>
    <col min="15" max="31" width="9.140625" style="7"/>
    <col min="32" max="16384" width="9.140625" style="3"/>
  </cols>
  <sheetData>
    <row r="1" spans="1:31">
      <c r="B1" s="33" t="s">
        <v>278</v>
      </c>
    </row>
    <row r="2" spans="1:31" s="53" customFormat="1" ht="20.25">
      <c r="A2" s="300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s="53" customFormat="1" ht="20.25">
      <c r="A3" s="301" t="s">
        <v>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s="53" customFormat="1" ht="20.25">
      <c r="A4" s="302" t="s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s="53" customFormat="1" ht="20.25">
      <c r="A5" s="302" t="s">
        <v>12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s="55" customForma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s="55" customFormat="1" ht="20.25">
      <c r="A7" s="302" t="s">
        <v>35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s="50" customFormat="1" ht="151.5" customHeight="1">
      <c r="A8" s="1" t="s">
        <v>2</v>
      </c>
      <c r="B8" s="1" t="s">
        <v>37</v>
      </c>
      <c r="C8" s="1" t="s">
        <v>7</v>
      </c>
      <c r="D8" s="1" t="s">
        <v>3</v>
      </c>
      <c r="E8" s="1" t="s">
        <v>4</v>
      </c>
      <c r="F8" s="1" t="s">
        <v>38</v>
      </c>
      <c r="G8" s="1" t="s">
        <v>39</v>
      </c>
      <c r="H8" s="1" t="s">
        <v>40</v>
      </c>
      <c r="I8" s="1" t="s">
        <v>41</v>
      </c>
      <c r="J8" s="1" t="s">
        <v>42</v>
      </c>
      <c r="K8" s="1" t="s">
        <v>43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s="2" customFormat="1">
      <c r="A9" s="1">
        <v>1</v>
      </c>
      <c r="B9" s="30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" customFormat="1">
      <c r="A10" s="297" t="s">
        <v>83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" customFormat="1" ht="39" customHeight="1">
      <c r="A11" s="61" t="s">
        <v>16</v>
      </c>
      <c r="B11" s="31" t="s">
        <v>84</v>
      </c>
      <c r="C11" s="42" t="s">
        <v>6</v>
      </c>
      <c r="D11" s="42" t="s">
        <v>6</v>
      </c>
      <c r="E11" s="42" t="s">
        <v>6</v>
      </c>
      <c r="F11" s="42" t="s">
        <v>6</v>
      </c>
      <c r="G11" s="42" t="s">
        <v>6</v>
      </c>
      <c r="H11" s="191">
        <f>H12+H26+H30+H33+H35+H37+H39+H43+H46+H49+H53+H58</f>
        <v>2766092.0999999992</v>
      </c>
      <c r="I11" s="191">
        <f>I12+I26+I30+I33+I35+I37+I39+I43+I46+I49+I53+I58</f>
        <v>2758488.9045100007</v>
      </c>
      <c r="J11" s="37">
        <f>I11/H11</f>
        <v>0.99725128621350012</v>
      </c>
      <c r="K11" s="215">
        <f>I11-H11</f>
        <v>-7603.1954899984412</v>
      </c>
      <c r="L11" s="193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21.75" customHeight="1">
      <c r="A12" s="258" t="s">
        <v>48</v>
      </c>
      <c r="B12" s="60" t="s">
        <v>105</v>
      </c>
      <c r="C12" s="39" t="s">
        <v>6</v>
      </c>
      <c r="D12" s="39" t="s">
        <v>6</v>
      </c>
      <c r="E12" s="39" t="s">
        <v>6</v>
      </c>
      <c r="F12" s="41" t="s">
        <v>6</v>
      </c>
      <c r="G12" s="40" t="s">
        <v>6</v>
      </c>
      <c r="H12" s="253">
        <f>1503290.4+1077816.7+539.6</f>
        <v>2581646.6999999997</v>
      </c>
      <c r="I12" s="222">
        <f>372.90074+1020385.96621-10446.815+64617.55163+224.70952+1503065.69048-20890.3-12949.9+20890.3+12949.85+79.16-0.02929</f>
        <v>2578299.0842900006</v>
      </c>
      <c r="J12" s="309">
        <f>I12/H12</f>
        <v>0.99870330215594605</v>
      </c>
      <c r="K12" s="253">
        <f>I12-H12</f>
        <v>-3347.6157099991105</v>
      </c>
    </row>
    <row r="13" spans="1:31" ht="56.25">
      <c r="A13" s="260"/>
      <c r="B13" s="60" t="s">
        <v>104</v>
      </c>
      <c r="C13" s="39" t="s">
        <v>10</v>
      </c>
      <c r="D13" s="40">
        <v>138</v>
      </c>
      <c r="E13" s="204">
        <v>136</v>
      </c>
      <c r="F13" s="41" t="s">
        <v>6</v>
      </c>
      <c r="G13" s="40">
        <f>IF(E13-D13=0,"-",E13-D13)</f>
        <v>-2</v>
      </c>
      <c r="H13" s="253"/>
      <c r="I13" s="286"/>
      <c r="J13" s="309"/>
      <c r="K13" s="253"/>
    </row>
    <row r="14" spans="1:31" ht="37.5">
      <c r="A14" s="260"/>
      <c r="B14" s="60" t="s">
        <v>106</v>
      </c>
      <c r="C14" s="39" t="s">
        <v>107</v>
      </c>
      <c r="D14" s="29">
        <v>37.200000000000003</v>
      </c>
      <c r="E14" s="29">
        <v>37.200000000000003</v>
      </c>
      <c r="F14" s="58" t="s">
        <v>6</v>
      </c>
      <c r="G14" s="29" t="str">
        <f t="shared" ref="G14" si="0">IF(E14-D14=0,"-",E14-D14)</f>
        <v>-</v>
      </c>
      <c r="H14" s="253"/>
      <c r="I14" s="223"/>
      <c r="J14" s="309"/>
      <c r="K14" s="253"/>
      <c r="N14" s="194"/>
    </row>
    <row r="15" spans="1:31" ht="138" customHeight="1">
      <c r="A15" s="35"/>
      <c r="B15" s="60" t="s">
        <v>53</v>
      </c>
      <c r="C15" s="255" t="s">
        <v>10</v>
      </c>
      <c r="D15" s="262">
        <v>104</v>
      </c>
      <c r="E15" s="262">
        <v>104</v>
      </c>
      <c r="F15" s="252" t="s">
        <v>6</v>
      </c>
      <c r="G15" s="262" t="str">
        <f>IF(E15-D15=0,"-",E15-D15)</f>
        <v>-</v>
      </c>
      <c r="H15" s="253">
        <v>21456.400000000001</v>
      </c>
      <c r="I15" s="253">
        <v>20890.3</v>
      </c>
      <c r="J15" s="257">
        <f t="shared" ref="J15" si="1">I15/H15</f>
        <v>0.97361626367890219</v>
      </c>
      <c r="K15" s="235">
        <f t="shared" ref="K15" si="2">I15-H15</f>
        <v>-566.10000000000218</v>
      </c>
      <c r="L15" s="27"/>
    </row>
    <row r="16" spans="1:31" ht="39" customHeight="1">
      <c r="A16" s="35"/>
      <c r="B16" s="60" t="s">
        <v>108</v>
      </c>
      <c r="C16" s="255"/>
      <c r="D16" s="262"/>
      <c r="E16" s="262"/>
      <c r="F16" s="252"/>
      <c r="G16" s="262"/>
      <c r="H16" s="253"/>
      <c r="I16" s="253"/>
      <c r="J16" s="257"/>
      <c r="K16" s="235"/>
    </row>
    <row r="17" spans="1:11" ht="75" customHeight="1">
      <c r="A17" s="35"/>
      <c r="B17" s="60" t="s">
        <v>170</v>
      </c>
      <c r="C17" s="233" t="s">
        <v>10</v>
      </c>
      <c r="D17" s="236">
        <v>41</v>
      </c>
      <c r="E17" s="236">
        <v>41</v>
      </c>
      <c r="F17" s="238" t="s">
        <v>6</v>
      </c>
      <c r="G17" s="236" t="s">
        <v>6</v>
      </c>
      <c r="H17" s="224">
        <v>15335.2</v>
      </c>
      <c r="I17" s="222">
        <v>12949.854499999999</v>
      </c>
      <c r="J17" s="229">
        <f t="shared" ref="J17:J37" si="3">I17/H17</f>
        <v>0.84445292529605087</v>
      </c>
      <c r="K17" s="226">
        <f t="shared" ref="K17:K37" si="4">I17-H17</f>
        <v>-2385.3455000000013</v>
      </c>
    </row>
    <row r="18" spans="1:11" ht="75">
      <c r="A18" s="87"/>
      <c r="B18" s="60" t="s">
        <v>109</v>
      </c>
      <c r="C18" s="234"/>
      <c r="D18" s="237"/>
      <c r="E18" s="237"/>
      <c r="F18" s="239"/>
      <c r="G18" s="237"/>
      <c r="H18" s="225"/>
      <c r="I18" s="223"/>
      <c r="J18" s="231"/>
      <c r="K18" s="228"/>
    </row>
    <row r="19" spans="1:11" ht="216.75" customHeight="1">
      <c r="A19" s="34"/>
      <c r="B19" s="60" t="s">
        <v>85</v>
      </c>
      <c r="C19" s="233" t="s">
        <v>10</v>
      </c>
      <c r="D19" s="236" t="s">
        <v>6</v>
      </c>
      <c r="E19" s="236" t="s">
        <v>6</v>
      </c>
      <c r="F19" s="238" t="s">
        <v>6</v>
      </c>
      <c r="G19" s="236" t="s">
        <v>6</v>
      </c>
      <c r="H19" s="224">
        <v>0</v>
      </c>
      <c r="I19" s="224">
        <v>0</v>
      </c>
      <c r="J19" s="229" t="s">
        <v>6</v>
      </c>
      <c r="K19" s="281" t="s">
        <v>6</v>
      </c>
    </row>
    <row r="20" spans="1:11" ht="37.5">
      <c r="A20" s="35"/>
      <c r="B20" s="60" t="s">
        <v>110</v>
      </c>
      <c r="C20" s="234"/>
      <c r="D20" s="237"/>
      <c r="E20" s="237"/>
      <c r="F20" s="239"/>
      <c r="G20" s="237"/>
      <c r="H20" s="225"/>
      <c r="I20" s="225"/>
      <c r="J20" s="231"/>
      <c r="K20" s="287"/>
    </row>
    <row r="21" spans="1:11" ht="95.25" customHeight="1">
      <c r="A21" s="35"/>
      <c r="B21" s="60" t="s">
        <v>86</v>
      </c>
      <c r="C21" s="233" t="s">
        <v>10</v>
      </c>
      <c r="D21" s="236" t="s">
        <v>6</v>
      </c>
      <c r="E21" s="236" t="s">
        <v>6</v>
      </c>
      <c r="F21" s="238" t="s">
        <v>6</v>
      </c>
      <c r="G21" s="236" t="s">
        <v>6</v>
      </c>
      <c r="H21" s="224">
        <v>0</v>
      </c>
      <c r="I21" s="224">
        <v>0</v>
      </c>
      <c r="J21" s="229" t="s">
        <v>6</v>
      </c>
      <c r="K21" s="281" t="s">
        <v>6</v>
      </c>
    </row>
    <row r="22" spans="1:11" ht="37.5">
      <c r="A22" s="35"/>
      <c r="B22" s="60" t="s">
        <v>111</v>
      </c>
      <c r="C22" s="234"/>
      <c r="D22" s="237"/>
      <c r="E22" s="237"/>
      <c r="F22" s="239"/>
      <c r="G22" s="237"/>
      <c r="H22" s="225"/>
      <c r="I22" s="225"/>
      <c r="J22" s="231"/>
      <c r="K22" s="287"/>
    </row>
    <row r="23" spans="1:11" ht="22.5" customHeight="1">
      <c r="A23" s="35"/>
      <c r="B23" s="60" t="s">
        <v>87</v>
      </c>
      <c r="C23" s="233" t="s">
        <v>10</v>
      </c>
      <c r="D23" s="236">
        <v>2</v>
      </c>
      <c r="E23" s="288">
        <v>2</v>
      </c>
      <c r="F23" s="238" t="s">
        <v>6</v>
      </c>
      <c r="G23" s="236" t="str">
        <f>IF(E23-D23=0,"-",E23-D23)</f>
        <v>-</v>
      </c>
      <c r="H23" s="224">
        <v>539.6</v>
      </c>
      <c r="I23" s="222">
        <v>79.155209999999997</v>
      </c>
      <c r="J23" s="229">
        <f>I23/H23</f>
        <v>0.14669238324684949</v>
      </c>
      <c r="K23" s="226">
        <f>I23-H23</f>
        <v>-460.44479000000001</v>
      </c>
    </row>
    <row r="24" spans="1:11" ht="40.5" customHeight="1">
      <c r="A24" s="35"/>
      <c r="B24" s="60" t="s">
        <v>112</v>
      </c>
      <c r="C24" s="234"/>
      <c r="D24" s="237"/>
      <c r="E24" s="289"/>
      <c r="F24" s="239"/>
      <c r="G24" s="237"/>
      <c r="H24" s="232"/>
      <c r="I24" s="286"/>
      <c r="J24" s="230"/>
      <c r="K24" s="227"/>
    </row>
    <row r="25" spans="1:11" ht="75">
      <c r="A25" s="36"/>
      <c r="B25" s="60" t="s">
        <v>113</v>
      </c>
      <c r="C25" s="62" t="s">
        <v>10</v>
      </c>
      <c r="D25" s="44">
        <v>8</v>
      </c>
      <c r="E25" s="211">
        <v>0</v>
      </c>
      <c r="F25" s="63" t="s">
        <v>6</v>
      </c>
      <c r="G25" s="44">
        <f>E25-D25</f>
        <v>-8</v>
      </c>
      <c r="H25" s="225"/>
      <c r="I25" s="223"/>
      <c r="J25" s="231"/>
      <c r="K25" s="228"/>
    </row>
    <row r="26" spans="1:11" ht="37.5">
      <c r="A26" s="259" t="s">
        <v>90</v>
      </c>
      <c r="B26" s="31" t="s">
        <v>54</v>
      </c>
      <c r="C26" s="42" t="s">
        <v>6</v>
      </c>
      <c r="D26" s="42" t="s">
        <v>6</v>
      </c>
      <c r="E26" s="204" t="s">
        <v>6</v>
      </c>
      <c r="F26" s="41" t="s">
        <v>6</v>
      </c>
      <c r="G26" s="40" t="s">
        <v>6</v>
      </c>
      <c r="H26" s="253">
        <v>11990.9</v>
      </c>
      <c r="I26" s="256">
        <v>11702.625</v>
      </c>
      <c r="J26" s="257">
        <f t="shared" si="3"/>
        <v>0.9759588521295316</v>
      </c>
      <c r="K26" s="235">
        <f t="shared" si="4"/>
        <v>-288.27499999999964</v>
      </c>
    </row>
    <row r="27" spans="1:11" ht="59.25" customHeight="1">
      <c r="A27" s="254"/>
      <c r="B27" s="31" t="s">
        <v>114</v>
      </c>
      <c r="C27" s="62" t="s">
        <v>10</v>
      </c>
      <c r="D27" s="44">
        <v>8</v>
      </c>
      <c r="E27" s="204">
        <v>8</v>
      </c>
      <c r="F27" s="41" t="s">
        <v>6</v>
      </c>
      <c r="G27" s="40" t="str">
        <f>IF(E27-D27=0,"-",E27-D27)</f>
        <v>-</v>
      </c>
      <c r="H27" s="253"/>
      <c r="I27" s="256"/>
      <c r="J27" s="257"/>
      <c r="K27" s="235"/>
    </row>
    <row r="28" spans="1:11">
      <c r="A28" s="254"/>
      <c r="B28" s="31" t="s">
        <v>115</v>
      </c>
      <c r="C28" s="62" t="s">
        <v>10</v>
      </c>
      <c r="D28" s="44">
        <v>5</v>
      </c>
      <c r="E28" s="204">
        <v>5</v>
      </c>
      <c r="F28" s="41" t="s">
        <v>6</v>
      </c>
      <c r="G28" s="40" t="str">
        <f>IF(E28-D28=0,"-",E28-D28)</f>
        <v>-</v>
      </c>
      <c r="H28" s="253"/>
      <c r="I28" s="256"/>
      <c r="J28" s="257"/>
      <c r="K28" s="235"/>
    </row>
    <row r="29" spans="1:11" ht="56.25">
      <c r="A29" s="254"/>
      <c r="B29" s="31" t="s">
        <v>116</v>
      </c>
      <c r="C29" s="62" t="s">
        <v>52</v>
      </c>
      <c r="D29" s="59">
        <v>0.7</v>
      </c>
      <c r="E29" s="199">
        <v>0.6</v>
      </c>
      <c r="F29" s="59" t="s">
        <v>6</v>
      </c>
      <c r="G29" s="59">
        <f>IF(E29-D29=0,"-",E29-D29)</f>
        <v>-9.9999999999999978E-2</v>
      </c>
      <c r="H29" s="253"/>
      <c r="I29" s="256"/>
      <c r="J29" s="257"/>
      <c r="K29" s="235"/>
    </row>
    <row r="30" spans="1:11" ht="56.25">
      <c r="A30" s="258" t="s">
        <v>88</v>
      </c>
      <c r="B30" s="31" t="s">
        <v>89</v>
      </c>
      <c r="C30" s="39" t="s">
        <v>6</v>
      </c>
      <c r="D30" s="40" t="s">
        <v>6</v>
      </c>
      <c r="E30" s="204" t="s">
        <v>6</v>
      </c>
      <c r="F30" s="41" t="s">
        <v>6</v>
      </c>
      <c r="G30" s="40" t="s">
        <v>6</v>
      </c>
      <c r="H30" s="224">
        <v>14409.1</v>
      </c>
      <c r="I30" s="222">
        <f>324.062+13706.14708+39.89992</f>
        <v>14070.109</v>
      </c>
      <c r="J30" s="283">
        <f>I30/H30</f>
        <v>0.97647382556856432</v>
      </c>
      <c r="K30" s="226">
        <f>I30-H30</f>
        <v>-338.99099999999999</v>
      </c>
    </row>
    <row r="31" spans="1:11" ht="37.5">
      <c r="A31" s="260"/>
      <c r="B31" s="31" t="s">
        <v>117</v>
      </c>
      <c r="C31" s="62" t="s">
        <v>52</v>
      </c>
      <c r="D31" s="62">
        <v>0.4</v>
      </c>
      <c r="E31" s="201">
        <v>0.309</v>
      </c>
      <c r="F31" s="41" t="s">
        <v>6</v>
      </c>
      <c r="G31" s="164">
        <f>IF(E31-D31=0,"-",E31-D31)</f>
        <v>-9.1000000000000025E-2</v>
      </c>
      <c r="H31" s="232"/>
      <c r="I31" s="286"/>
      <c r="J31" s="284"/>
      <c r="K31" s="227"/>
    </row>
    <row r="32" spans="1:11" ht="37.5">
      <c r="A32" s="259"/>
      <c r="B32" s="31" t="s">
        <v>118</v>
      </c>
      <c r="C32" s="62" t="s">
        <v>13</v>
      </c>
      <c r="D32" s="62">
        <v>29</v>
      </c>
      <c r="E32" s="204">
        <v>31</v>
      </c>
      <c r="F32" s="59" t="s">
        <v>6</v>
      </c>
      <c r="G32" s="167">
        <f>IF(E32-D32=0,"-",E32-D32)</f>
        <v>2</v>
      </c>
      <c r="H32" s="225"/>
      <c r="I32" s="223"/>
      <c r="J32" s="285"/>
      <c r="K32" s="228"/>
    </row>
    <row r="33" spans="1:31" ht="18" customHeight="1">
      <c r="A33" s="291" t="s">
        <v>69</v>
      </c>
      <c r="B33" s="31" t="s">
        <v>55</v>
      </c>
      <c r="C33" s="255" t="s">
        <v>10</v>
      </c>
      <c r="D33" s="262">
        <v>127</v>
      </c>
      <c r="E33" s="262">
        <v>127</v>
      </c>
      <c r="F33" s="252" t="s">
        <v>6</v>
      </c>
      <c r="G33" s="262" t="str">
        <f t="shared" ref="G33" si="5">IF(E33-D33=0,"-",E33-D33)</f>
        <v>-</v>
      </c>
      <c r="H33" s="253">
        <v>44247.5</v>
      </c>
      <c r="I33" s="256">
        <f>10446.815+33800.601</f>
        <v>44247.416000000005</v>
      </c>
      <c r="J33" s="257">
        <f t="shared" ref="J33" si="6">I33/H33</f>
        <v>0.99999810158766045</v>
      </c>
      <c r="K33" s="235">
        <f t="shared" ref="K33" si="7">I33-H33</f>
        <v>-8.3999999995285179E-2</v>
      </c>
    </row>
    <row r="34" spans="1:31" ht="37.5">
      <c r="A34" s="254"/>
      <c r="B34" s="31" t="s">
        <v>119</v>
      </c>
      <c r="C34" s="255"/>
      <c r="D34" s="262"/>
      <c r="E34" s="262"/>
      <c r="F34" s="252"/>
      <c r="G34" s="262"/>
      <c r="H34" s="253"/>
      <c r="I34" s="256"/>
      <c r="J34" s="257"/>
      <c r="K34" s="235"/>
    </row>
    <row r="35" spans="1:31" ht="37.5">
      <c r="A35" s="254" t="s">
        <v>91</v>
      </c>
      <c r="B35" s="31" t="s">
        <v>56</v>
      </c>
      <c r="C35" s="255" t="s">
        <v>107</v>
      </c>
      <c r="D35" s="261">
        <v>2.5</v>
      </c>
      <c r="E35" s="261">
        <v>2.6</v>
      </c>
      <c r="F35" s="290" t="s">
        <v>6</v>
      </c>
      <c r="G35" s="261">
        <f t="shared" ref="G35" si="8">IF(E35-D35=0,"-",E35-D35)</f>
        <v>0.10000000000000009</v>
      </c>
      <c r="H35" s="253">
        <v>91500</v>
      </c>
      <c r="I35" s="253">
        <v>91500</v>
      </c>
      <c r="J35" s="257">
        <f t="shared" ref="J35" si="9">I35/H35</f>
        <v>1</v>
      </c>
      <c r="K35" s="235">
        <f t="shared" ref="K35" si="10">I35-H35</f>
        <v>0</v>
      </c>
    </row>
    <row r="36" spans="1:31" ht="37.5">
      <c r="A36" s="254"/>
      <c r="B36" s="31" t="s">
        <v>126</v>
      </c>
      <c r="C36" s="255"/>
      <c r="D36" s="261"/>
      <c r="E36" s="261"/>
      <c r="F36" s="290"/>
      <c r="G36" s="261"/>
      <c r="H36" s="253"/>
      <c r="I36" s="253"/>
      <c r="J36" s="257"/>
      <c r="K36" s="235"/>
    </row>
    <row r="37" spans="1:31" ht="56.25">
      <c r="A37" s="254" t="s">
        <v>92</v>
      </c>
      <c r="B37" s="31" t="s">
        <v>94</v>
      </c>
      <c r="C37" s="39" t="s">
        <v>6</v>
      </c>
      <c r="D37" s="40" t="s">
        <v>6</v>
      </c>
      <c r="E37" s="204" t="s">
        <v>6</v>
      </c>
      <c r="F37" s="41" t="s">
        <v>6</v>
      </c>
      <c r="G37" s="40" t="s">
        <v>6</v>
      </c>
      <c r="H37" s="224">
        <v>16268.3</v>
      </c>
      <c r="I37" s="256">
        <v>15690.870220000001</v>
      </c>
      <c r="J37" s="257">
        <f t="shared" si="3"/>
        <v>0.96450583158658254</v>
      </c>
      <c r="K37" s="235">
        <f t="shared" si="4"/>
        <v>-577.42977999999857</v>
      </c>
    </row>
    <row r="38" spans="1:31" ht="55.5" customHeight="1">
      <c r="A38" s="258"/>
      <c r="B38" s="31" t="s">
        <v>68</v>
      </c>
      <c r="C38" s="39" t="s">
        <v>10</v>
      </c>
      <c r="D38" s="39">
        <v>46</v>
      </c>
      <c r="E38" s="204">
        <v>46</v>
      </c>
      <c r="F38" s="40" t="s">
        <v>6</v>
      </c>
      <c r="G38" s="40" t="str">
        <f t="shared" ref="G38:G71" si="11">IF(E38-D38=0,"-",E38-D38)</f>
        <v>-</v>
      </c>
      <c r="H38" s="225"/>
      <c r="I38" s="256"/>
      <c r="J38" s="257"/>
      <c r="K38" s="235"/>
    </row>
    <row r="39" spans="1:31" ht="99" customHeight="1">
      <c r="A39" s="258" t="s">
        <v>93</v>
      </c>
      <c r="B39" s="60" t="s">
        <v>96</v>
      </c>
      <c r="C39" s="64" t="s">
        <v>6</v>
      </c>
      <c r="D39" s="43" t="s">
        <v>6</v>
      </c>
      <c r="E39" s="202" t="s">
        <v>6</v>
      </c>
      <c r="F39" s="43" t="s">
        <v>6</v>
      </c>
      <c r="G39" s="43" t="s">
        <v>6</v>
      </c>
      <c r="H39" s="224">
        <v>0</v>
      </c>
      <c r="I39" s="224">
        <v>0</v>
      </c>
      <c r="J39" s="229" t="s">
        <v>6</v>
      </c>
      <c r="K39" s="281" t="s">
        <v>6</v>
      </c>
    </row>
    <row r="40" spans="1:31" s="71" customFormat="1" ht="17.25" customHeight="1">
      <c r="A40" s="260"/>
      <c r="B40" s="170" t="s">
        <v>143</v>
      </c>
      <c r="C40" s="68" t="s">
        <v>34</v>
      </c>
      <c r="D40" s="166" t="s">
        <v>6</v>
      </c>
      <c r="E40" s="202" t="s">
        <v>6</v>
      </c>
      <c r="F40" s="166" t="s">
        <v>6</v>
      </c>
      <c r="G40" s="166" t="s">
        <v>6</v>
      </c>
      <c r="H40" s="232"/>
      <c r="I40" s="232"/>
      <c r="J40" s="230"/>
      <c r="K40" s="28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</row>
    <row r="41" spans="1:31" s="71" customFormat="1">
      <c r="A41" s="260"/>
      <c r="B41" s="170" t="s">
        <v>122</v>
      </c>
      <c r="C41" s="72" t="s">
        <v>34</v>
      </c>
      <c r="D41" s="166" t="s">
        <v>6</v>
      </c>
      <c r="E41" s="202" t="s">
        <v>6</v>
      </c>
      <c r="F41" s="166" t="s">
        <v>6</v>
      </c>
      <c r="G41" s="166" t="s">
        <v>6</v>
      </c>
      <c r="H41" s="232"/>
      <c r="I41" s="232"/>
      <c r="J41" s="230"/>
      <c r="K41" s="28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</row>
    <row r="42" spans="1:31" s="71" customFormat="1" ht="17.25" customHeight="1">
      <c r="A42" s="260"/>
      <c r="B42" s="170" t="s">
        <v>121</v>
      </c>
      <c r="C42" s="72" t="s">
        <v>34</v>
      </c>
      <c r="D42" s="166" t="s">
        <v>6</v>
      </c>
      <c r="E42" s="202" t="s">
        <v>6</v>
      </c>
      <c r="F42" s="166" t="s">
        <v>6</v>
      </c>
      <c r="G42" s="166" t="s">
        <v>6</v>
      </c>
      <c r="H42" s="232"/>
      <c r="I42" s="232"/>
      <c r="J42" s="230"/>
      <c r="K42" s="28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</row>
    <row r="43" spans="1:31" ht="19.5" customHeight="1">
      <c r="A43" s="157" t="s">
        <v>95</v>
      </c>
      <c r="B43" s="31" t="s">
        <v>101</v>
      </c>
      <c r="C43" s="39" t="s">
        <v>6</v>
      </c>
      <c r="D43" s="75" t="s">
        <v>6</v>
      </c>
      <c r="E43" s="75" t="s">
        <v>6</v>
      </c>
      <c r="F43" s="74" t="s">
        <v>6</v>
      </c>
      <c r="G43" s="75" t="s">
        <v>6</v>
      </c>
      <c r="H43" s="224">
        <v>2978.8</v>
      </c>
      <c r="I43" s="224">
        <v>2978.8</v>
      </c>
      <c r="J43" s="229">
        <f t="shared" ref="J43" si="12">I43/H43</f>
        <v>1</v>
      </c>
      <c r="K43" s="281">
        <f t="shared" ref="K43" si="13">I43-H43</f>
        <v>0</v>
      </c>
    </row>
    <row r="44" spans="1:31" s="71" customFormat="1" ht="38.25" customHeight="1">
      <c r="A44" s="66"/>
      <c r="B44" s="138" t="s">
        <v>112</v>
      </c>
      <c r="C44" s="68" t="s">
        <v>10</v>
      </c>
      <c r="D44" s="69">
        <v>1</v>
      </c>
      <c r="E44" s="69">
        <v>1</v>
      </c>
      <c r="F44" s="69" t="s">
        <v>6</v>
      </c>
      <c r="G44" s="69">
        <f>E44-D44</f>
        <v>0</v>
      </c>
      <c r="H44" s="232"/>
      <c r="I44" s="232"/>
      <c r="J44" s="230"/>
      <c r="K44" s="28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</row>
    <row r="45" spans="1:31" s="71" customFormat="1" ht="75">
      <c r="A45" s="66"/>
      <c r="B45" s="138" t="s">
        <v>113</v>
      </c>
      <c r="C45" s="153" t="s">
        <v>10</v>
      </c>
      <c r="D45" s="69">
        <v>4</v>
      </c>
      <c r="E45" s="69">
        <v>4</v>
      </c>
      <c r="F45" s="69" t="s">
        <v>6</v>
      </c>
      <c r="G45" s="69">
        <f>E45-D45</f>
        <v>0</v>
      </c>
      <c r="H45" s="232"/>
      <c r="I45" s="232"/>
      <c r="J45" s="230"/>
      <c r="K45" s="28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</row>
    <row r="46" spans="1:31">
      <c r="A46" s="34" t="s">
        <v>97</v>
      </c>
      <c r="B46" s="31" t="s">
        <v>102</v>
      </c>
      <c r="C46" s="39" t="s">
        <v>6</v>
      </c>
      <c r="D46" s="40" t="s">
        <v>6</v>
      </c>
      <c r="E46" s="204" t="s">
        <v>6</v>
      </c>
      <c r="F46" s="41" t="s">
        <v>6</v>
      </c>
      <c r="G46" s="40" t="s">
        <v>6</v>
      </c>
      <c r="H46" s="224">
        <v>2950.8</v>
      </c>
      <c r="I46" s="224">
        <v>0</v>
      </c>
      <c r="J46" s="229">
        <f t="shared" ref="J46" si="14">I46/H46</f>
        <v>0</v>
      </c>
      <c r="K46" s="226">
        <f t="shared" ref="K46" si="15">I46-H46</f>
        <v>-2950.8</v>
      </c>
    </row>
    <row r="47" spans="1:31" s="71" customFormat="1" ht="39" customHeight="1">
      <c r="A47" s="66"/>
      <c r="B47" s="138" t="s">
        <v>112</v>
      </c>
      <c r="C47" s="68" t="s">
        <v>10</v>
      </c>
      <c r="D47" s="69">
        <v>1</v>
      </c>
      <c r="E47" s="69">
        <v>0</v>
      </c>
      <c r="F47" s="69" t="s">
        <v>6</v>
      </c>
      <c r="G47" s="69">
        <f>E47-D47</f>
        <v>-1</v>
      </c>
      <c r="H47" s="232"/>
      <c r="I47" s="232"/>
      <c r="J47" s="230"/>
      <c r="K47" s="227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</row>
    <row r="48" spans="1:31" s="71" customFormat="1" ht="75">
      <c r="A48" s="66"/>
      <c r="B48" s="138" t="s">
        <v>113</v>
      </c>
      <c r="C48" s="153" t="s">
        <v>10</v>
      </c>
      <c r="D48" s="69">
        <v>4</v>
      </c>
      <c r="E48" s="69">
        <v>0</v>
      </c>
      <c r="F48" s="69" t="s">
        <v>6</v>
      </c>
      <c r="G48" s="69">
        <f>E48-D48</f>
        <v>-4</v>
      </c>
      <c r="H48" s="232"/>
      <c r="I48" s="232"/>
      <c r="J48" s="230"/>
      <c r="K48" s="227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ht="116.25" customHeight="1">
      <c r="A49" s="34" t="s">
        <v>98</v>
      </c>
      <c r="B49" s="31" t="s">
        <v>281</v>
      </c>
      <c r="C49" s="39" t="s">
        <v>6</v>
      </c>
      <c r="D49" s="40" t="s">
        <v>6</v>
      </c>
      <c r="E49" s="178" t="s">
        <v>6</v>
      </c>
      <c r="F49" s="41" t="s">
        <v>6</v>
      </c>
      <c r="G49" s="40" t="s">
        <v>6</v>
      </c>
      <c r="H49" s="224">
        <v>0</v>
      </c>
      <c r="I49" s="224">
        <v>0</v>
      </c>
      <c r="J49" s="229" t="s">
        <v>6</v>
      </c>
      <c r="K49" s="224" t="s">
        <v>6</v>
      </c>
    </row>
    <row r="50" spans="1:31" s="71" customFormat="1" ht="37.5">
      <c r="A50" s="66"/>
      <c r="B50" s="60" t="s">
        <v>143</v>
      </c>
      <c r="C50" s="68" t="s">
        <v>34</v>
      </c>
      <c r="D50" s="43" t="s">
        <v>6</v>
      </c>
      <c r="E50" s="175" t="s">
        <v>6</v>
      </c>
      <c r="F50" s="43" t="s">
        <v>6</v>
      </c>
      <c r="G50" s="43" t="s">
        <v>6</v>
      </c>
      <c r="H50" s="232"/>
      <c r="I50" s="232"/>
      <c r="J50" s="230"/>
      <c r="K50" s="23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</row>
    <row r="51" spans="1:31" s="71" customFormat="1" ht="37.5">
      <c r="A51" s="66"/>
      <c r="B51" s="60" t="s">
        <v>122</v>
      </c>
      <c r="C51" s="72" t="s">
        <v>34</v>
      </c>
      <c r="D51" s="43" t="s">
        <v>6</v>
      </c>
      <c r="E51" s="175" t="s">
        <v>6</v>
      </c>
      <c r="F51" s="43" t="s">
        <v>6</v>
      </c>
      <c r="G51" s="43" t="s">
        <v>6</v>
      </c>
      <c r="H51" s="232"/>
      <c r="I51" s="232"/>
      <c r="J51" s="230"/>
      <c r="K51" s="23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s="71" customFormat="1">
      <c r="A52" s="73"/>
      <c r="B52" s="60" t="s">
        <v>121</v>
      </c>
      <c r="C52" s="72" t="s">
        <v>34</v>
      </c>
      <c r="D52" s="43" t="s">
        <v>6</v>
      </c>
      <c r="E52" s="175" t="s">
        <v>6</v>
      </c>
      <c r="F52" s="43" t="s">
        <v>6</v>
      </c>
      <c r="G52" s="43" t="s">
        <v>6</v>
      </c>
      <c r="H52" s="225"/>
      <c r="I52" s="225"/>
      <c r="J52" s="231"/>
      <c r="K52" s="225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</row>
    <row r="53" spans="1:31" ht="37.5">
      <c r="A53" s="34" t="s">
        <v>99</v>
      </c>
      <c r="B53" s="31" t="s">
        <v>103</v>
      </c>
      <c r="C53" s="39" t="s">
        <v>6</v>
      </c>
      <c r="D53" s="40" t="s">
        <v>6</v>
      </c>
      <c r="E53" s="178" t="s">
        <v>6</v>
      </c>
      <c r="F53" s="41" t="s">
        <v>6</v>
      </c>
      <c r="G53" s="40" t="s">
        <v>6</v>
      </c>
      <c r="H53" s="224">
        <v>0</v>
      </c>
      <c r="I53" s="224">
        <v>0</v>
      </c>
      <c r="J53" s="229" t="s">
        <v>6</v>
      </c>
      <c r="K53" s="226" t="s">
        <v>6</v>
      </c>
    </row>
    <row r="54" spans="1:31" s="71" customFormat="1" ht="37.5">
      <c r="A54" s="66"/>
      <c r="B54" s="60" t="s">
        <v>143</v>
      </c>
      <c r="C54" s="68" t="s">
        <v>34</v>
      </c>
      <c r="D54" s="43" t="s">
        <v>6</v>
      </c>
      <c r="E54" s="175" t="s">
        <v>6</v>
      </c>
      <c r="F54" s="41" t="s">
        <v>6</v>
      </c>
      <c r="G54" s="43" t="s">
        <v>6</v>
      </c>
      <c r="H54" s="232"/>
      <c r="I54" s="232"/>
      <c r="J54" s="230"/>
      <c r="K54" s="227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</row>
    <row r="55" spans="1:31" s="71" customFormat="1" ht="37.5">
      <c r="A55" s="66"/>
      <c r="B55" s="60" t="s">
        <v>124</v>
      </c>
      <c r="C55" s="72" t="s">
        <v>34</v>
      </c>
      <c r="D55" s="40" t="s">
        <v>6</v>
      </c>
      <c r="E55" s="178" t="s">
        <v>6</v>
      </c>
      <c r="F55" s="41" t="s">
        <v>6</v>
      </c>
      <c r="G55" s="43" t="s">
        <v>6</v>
      </c>
      <c r="H55" s="232"/>
      <c r="I55" s="232"/>
      <c r="J55" s="230"/>
      <c r="K55" s="227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</row>
    <row r="56" spans="1:31" s="71" customFormat="1" ht="37.5">
      <c r="A56" s="66"/>
      <c r="B56" s="60" t="s">
        <v>125</v>
      </c>
      <c r="C56" s="72" t="s">
        <v>34</v>
      </c>
      <c r="D56" s="40" t="s">
        <v>6</v>
      </c>
      <c r="E56" s="178" t="s">
        <v>6</v>
      </c>
      <c r="F56" s="41" t="s">
        <v>6</v>
      </c>
      <c r="G56" s="43" t="s">
        <v>6</v>
      </c>
      <c r="H56" s="232"/>
      <c r="I56" s="232"/>
      <c r="J56" s="230"/>
      <c r="K56" s="227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</row>
    <row r="57" spans="1:31" s="71" customFormat="1">
      <c r="A57" s="66"/>
      <c r="B57" s="168" t="s">
        <v>121</v>
      </c>
      <c r="C57" s="72" t="s">
        <v>34</v>
      </c>
      <c r="D57" s="40" t="s">
        <v>6</v>
      </c>
      <c r="E57" s="178" t="s">
        <v>6</v>
      </c>
      <c r="F57" s="41" t="s">
        <v>6</v>
      </c>
      <c r="G57" s="43" t="s">
        <v>6</v>
      </c>
      <c r="H57" s="225"/>
      <c r="I57" s="225"/>
      <c r="J57" s="231"/>
      <c r="K57" s="228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</row>
    <row r="58" spans="1:31" s="71" customFormat="1" ht="56.25">
      <c r="A58" s="162" t="s">
        <v>100</v>
      </c>
      <c r="B58" s="60" t="s">
        <v>279</v>
      </c>
      <c r="C58" s="72" t="s">
        <v>10</v>
      </c>
      <c r="D58" s="69">
        <v>136</v>
      </c>
      <c r="E58" s="69">
        <v>0</v>
      </c>
      <c r="F58" s="69" t="s">
        <v>6</v>
      </c>
      <c r="G58" s="69">
        <f>E58-D58</f>
        <v>-136</v>
      </c>
      <c r="H58" s="208">
        <v>100</v>
      </c>
      <c r="I58" s="208">
        <v>0</v>
      </c>
      <c r="J58" s="158">
        <f>I58/H58</f>
        <v>0</v>
      </c>
      <c r="K58" s="217">
        <f>I58-H58</f>
        <v>-100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</row>
    <row r="59" spans="1:31" ht="56.25">
      <c r="A59" s="162" t="s">
        <v>17</v>
      </c>
      <c r="B59" s="60" t="s">
        <v>127</v>
      </c>
      <c r="C59" s="39" t="s">
        <v>6</v>
      </c>
      <c r="D59" s="40" t="s">
        <v>6</v>
      </c>
      <c r="E59" s="178" t="s">
        <v>6</v>
      </c>
      <c r="F59" s="41" t="s">
        <v>6</v>
      </c>
      <c r="G59" s="40" t="s">
        <v>6</v>
      </c>
      <c r="H59" s="224">
        <f>H66+H71+H76+H81++H86</f>
        <v>629205.6</v>
      </c>
      <c r="I59" s="224">
        <f>I66+I71+I76+I81++I86</f>
        <v>628967.13728000002</v>
      </c>
      <c r="J59" s="229">
        <f t="shared" ref="J59:J76" si="16">I59/H59</f>
        <v>0.99962100985750935</v>
      </c>
      <c r="K59" s="226">
        <f t="shared" ref="K59:K76" si="17">I59-H59</f>
        <v>-238.46271999995224</v>
      </c>
    </row>
    <row r="60" spans="1:31">
      <c r="A60" s="165"/>
      <c r="B60" s="146" t="s">
        <v>277</v>
      </c>
      <c r="C60" s="130" t="s">
        <v>34</v>
      </c>
      <c r="D60" s="131">
        <f>D61+D62+D63</f>
        <v>1054</v>
      </c>
      <c r="E60" s="204">
        <f>E61+E62+E63</f>
        <v>1054</v>
      </c>
      <c r="F60" s="132" t="s">
        <v>6</v>
      </c>
      <c r="G60" s="131" t="str">
        <f t="shared" ref="G60" si="18">IF(E60-D60=0,"-",E60-D60)</f>
        <v>-</v>
      </c>
      <c r="H60" s="232"/>
      <c r="I60" s="232"/>
      <c r="J60" s="230"/>
      <c r="K60" s="227"/>
    </row>
    <row r="61" spans="1:31">
      <c r="A61" s="165"/>
      <c r="B61" s="146" t="s">
        <v>122</v>
      </c>
      <c r="C61" s="68" t="s">
        <v>34</v>
      </c>
      <c r="D61" s="131">
        <f>D68+D73+D78+D83+D88</f>
        <v>206</v>
      </c>
      <c r="E61" s="204">
        <f>E68+E73+E78+E83+E88</f>
        <v>206</v>
      </c>
      <c r="F61" s="132" t="s">
        <v>6</v>
      </c>
      <c r="G61" s="131" t="str">
        <f t="shared" ref="G61:G63" si="19">IF(E61-D61=0,"-",E61-D61)</f>
        <v>-</v>
      </c>
      <c r="H61" s="232"/>
      <c r="I61" s="232"/>
      <c r="J61" s="230"/>
      <c r="K61" s="227"/>
    </row>
    <row r="62" spans="1:31">
      <c r="A62" s="165"/>
      <c r="B62" s="146" t="s">
        <v>123</v>
      </c>
      <c r="C62" s="68" t="s">
        <v>34</v>
      </c>
      <c r="D62" s="131">
        <f t="shared" ref="D62:E63" si="20">D69+D74+D79+D84+D89</f>
        <v>424</v>
      </c>
      <c r="E62" s="204">
        <f t="shared" si="20"/>
        <v>424</v>
      </c>
      <c r="F62" s="132" t="s">
        <v>6</v>
      </c>
      <c r="G62" s="131" t="str">
        <f t="shared" si="19"/>
        <v>-</v>
      </c>
      <c r="H62" s="232"/>
      <c r="I62" s="232"/>
      <c r="J62" s="230"/>
      <c r="K62" s="227"/>
    </row>
    <row r="63" spans="1:31">
      <c r="A63" s="165"/>
      <c r="B63" s="146" t="s">
        <v>121</v>
      </c>
      <c r="C63" s="68" t="s">
        <v>34</v>
      </c>
      <c r="D63" s="131">
        <f t="shared" si="20"/>
        <v>424</v>
      </c>
      <c r="E63" s="204">
        <f t="shared" si="20"/>
        <v>424</v>
      </c>
      <c r="F63" s="132" t="s">
        <v>6</v>
      </c>
      <c r="G63" s="131" t="str">
        <f t="shared" si="19"/>
        <v>-</v>
      </c>
      <c r="H63" s="232"/>
      <c r="I63" s="232"/>
      <c r="J63" s="230"/>
      <c r="K63" s="227"/>
    </row>
    <row r="64" spans="1:31" ht="65.25" customHeight="1">
      <c r="A64" s="165"/>
      <c r="B64" s="67" t="s">
        <v>141</v>
      </c>
      <c r="C64" s="65" t="s">
        <v>13</v>
      </c>
      <c r="D64" s="40">
        <v>4029</v>
      </c>
      <c r="E64" s="202">
        <v>4729</v>
      </c>
      <c r="F64" s="78" t="s">
        <v>6</v>
      </c>
      <c r="G64" s="40">
        <f>E64-D64</f>
        <v>700</v>
      </c>
      <c r="H64" s="232"/>
      <c r="I64" s="232"/>
      <c r="J64" s="230"/>
      <c r="K64" s="227"/>
    </row>
    <row r="65" spans="1:11" ht="83.25" customHeight="1">
      <c r="A65" s="163"/>
      <c r="B65" s="67" t="s">
        <v>142</v>
      </c>
      <c r="C65" s="65" t="s">
        <v>13</v>
      </c>
      <c r="D65" s="40">
        <v>160</v>
      </c>
      <c r="E65" s="202">
        <v>170</v>
      </c>
      <c r="F65" s="78" t="s">
        <v>6</v>
      </c>
      <c r="G65" s="40">
        <f>E65-D65</f>
        <v>10</v>
      </c>
      <c r="H65" s="225"/>
      <c r="I65" s="225"/>
      <c r="J65" s="231"/>
      <c r="K65" s="228"/>
    </row>
    <row r="66" spans="1:11" ht="99.75" customHeight="1">
      <c r="A66" s="35" t="s">
        <v>49</v>
      </c>
      <c r="B66" s="60" t="s">
        <v>280</v>
      </c>
      <c r="C66" s="280" t="s">
        <v>34</v>
      </c>
      <c r="D66" s="292">
        <v>0</v>
      </c>
      <c r="E66" s="236">
        <v>0</v>
      </c>
      <c r="F66" s="238" t="s">
        <v>6</v>
      </c>
      <c r="G66" s="236" t="str">
        <f t="shared" si="11"/>
        <v>-</v>
      </c>
      <c r="H66" s="224">
        <v>0</v>
      </c>
      <c r="I66" s="224">
        <v>0</v>
      </c>
      <c r="J66" s="229" t="s">
        <v>6</v>
      </c>
      <c r="K66" s="226" t="s">
        <v>6</v>
      </c>
    </row>
    <row r="67" spans="1:11" ht="31.5">
      <c r="A67" s="35"/>
      <c r="B67" s="67" t="s">
        <v>120</v>
      </c>
      <c r="C67" s="234"/>
      <c r="D67" s="237"/>
      <c r="E67" s="237"/>
      <c r="F67" s="239"/>
      <c r="G67" s="237"/>
      <c r="H67" s="232"/>
      <c r="I67" s="232"/>
      <c r="J67" s="230"/>
      <c r="K67" s="227"/>
    </row>
    <row r="68" spans="1:11">
      <c r="A68" s="35"/>
      <c r="B68" s="67" t="s">
        <v>122</v>
      </c>
      <c r="C68" s="68" t="s">
        <v>34</v>
      </c>
      <c r="D68" s="40">
        <v>0</v>
      </c>
      <c r="E68" s="204">
        <v>0</v>
      </c>
      <c r="F68" s="41" t="s">
        <v>6</v>
      </c>
      <c r="G68" s="40" t="str">
        <f t="shared" si="11"/>
        <v>-</v>
      </c>
      <c r="H68" s="232"/>
      <c r="I68" s="232"/>
      <c r="J68" s="230"/>
      <c r="K68" s="227"/>
    </row>
    <row r="69" spans="1:11">
      <c r="A69" s="35"/>
      <c r="B69" s="67" t="s">
        <v>123</v>
      </c>
      <c r="C69" s="68" t="s">
        <v>34</v>
      </c>
      <c r="D69" s="40">
        <v>0</v>
      </c>
      <c r="E69" s="204">
        <v>0</v>
      </c>
      <c r="F69" s="41" t="s">
        <v>6</v>
      </c>
      <c r="G69" s="40" t="str">
        <f t="shared" si="11"/>
        <v>-</v>
      </c>
      <c r="H69" s="232"/>
      <c r="I69" s="232"/>
      <c r="J69" s="230"/>
      <c r="K69" s="227"/>
    </row>
    <row r="70" spans="1:11">
      <c r="A70" s="36"/>
      <c r="B70" s="67" t="s">
        <v>121</v>
      </c>
      <c r="C70" s="68" t="s">
        <v>34</v>
      </c>
      <c r="D70" s="40">
        <v>0</v>
      </c>
      <c r="E70" s="204">
        <v>0</v>
      </c>
      <c r="F70" s="41" t="s">
        <v>6</v>
      </c>
      <c r="G70" s="40" t="str">
        <f t="shared" si="11"/>
        <v>-</v>
      </c>
      <c r="H70" s="225"/>
      <c r="I70" s="225"/>
      <c r="J70" s="231"/>
      <c r="K70" s="228"/>
    </row>
    <row r="71" spans="1:11" ht="37.5">
      <c r="A71" s="259" t="s">
        <v>130</v>
      </c>
      <c r="B71" s="31" t="s">
        <v>128</v>
      </c>
      <c r="C71" s="233" t="s">
        <v>34</v>
      </c>
      <c r="D71" s="236">
        <f>SUM(D73:D75)</f>
        <v>0</v>
      </c>
      <c r="E71" s="236">
        <f>SUM(E73:E75)</f>
        <v>0</v>
      </c>
      <c r="F71" s="238" t="s">
        <v>6</v>
      </c>
      <c r="G71" s="236" t="str">
        <f t="shared" si="11"/>
        <v>-</v>
      </c>
      <c r="H71" s="253">
        <v>0</v>
      </c>
      <c r="I71" s="253">
        <v>0</v>
      </c>
      <c r="J71" s="257" t="s">
        <v>6</v>
      </c>
      <c r="K71" s="235" t="s">
        <v>6</v>
      </c>
    </row>
    <row r="72" spans="1:11" ht="31.5">
      <c r="A72" s="259"/>
      <c r="B72" s="67" t="s">
        <v>120</v>
      </c>
      <c r="C72" s="234"/>
      <c r="D72" s="237"/>
      <c r="E72" s="237"/>
      <c r="F72" s="239"/>
      <c r="G72" s="237"/>
      <c r="H72" s="253"/>
      <c r="I72" s="253"/>
      <c r="J72" s="257"/>
      <c r="K72" s="235"/>
    </row>
    <row r="73" spans="1:11">
      <c r="A73" s="259"/>
      <c r="B73" s="67" t="s">
        <v>124</v>
      </c>
      <c r="C73" s="68" t="s">
        <v>34</v>
      </c>
      <c r="D73" s="40">
        <v>0</v>
      </c>
      <c r="E73" s="204">
        <v>0</v>
      </c>
      <c r="F73" s="41" t="s">
        <v>6</v>
      </c>
      <c r="G73" s="40" t="str">
        <f t="shared" ref="G73:G75" si="21">IF(E73-D73=0,"-",E73-D73)</f>
        <v>-</v>
      </c>
      <c r="H73" s="253"/>
      <c r="I73" s="253"/>
      <c r="J73" s="257"/>
      <c r="K73" s="235"/>
    </row>
    <row r="74" spans="1:11">
      <c r="A74" s="259"/>
      <c r="B74" s="67" t="s">
        <v>136</v>
      </c>
      <c r="C74" s="68" t="s">
        <v>34</v>
      </c>
      <c r="D74" s="40">
        <v>0</v>
      </c>
      <c r="E74" s="204">
        <v>0</v>
      </c>
      <c r="F74" s="41" t="s">
        <v>6</v>
      </c>
      <c r="G74" s="40" t="str">
        <f t="shared" si="21"/>
        <v>-</v>
      </c>
      <c r="H74" s="253"/>
      <c r="I74" s="253"/>
      <c r="J74" s="257"/>
      <c r="K74" s="235"/>
    </row>
    <row r="75" spans="1:11">
      <c r="A75" s="254"/>
      <c r="B75" s="67" t="s">
        <v>121</v>
      </c>
      <c r="C75" s="68" t="s">
        <v>34</v>
      </c>
      <c r="D75" s="40">
        <v>0</v>
      </c>
      <c r="E75" s="204">
        <v>0</v>
      </c>
      <c r="F75" s="41" t="s">
        <v>6</v>
      </c>
      <c r="G75" s="40" t="str">
        <f t="shared" si="21"/>
        <v>-</v>
      </c>
      <c r="H75" s="253"/>
      <c r="I75" s="253"/>
      <c r="J75" s="257"/>
      <c r="K75" s="235"/>
    </row>
    <row r="76" spans="1:11" ht="37.5">
      <c r="A76" s="254" t="s">
        <v>131</v>
      </c>
      <c r="B76" s="31" t="s">
        <v>129</v>
      </c>
      <c r="C76" s="233" t="s">
        <v>34</v>
      </c>
      <c r="D76" s="236">
        <f>SUM(D78:D80)</f>
        <v>0</v>
      </c>
      <c r="E76" s="236">
        <f>SUM(E78:E80)</f>
        <v>0</v>
      </c>
      <c r="F76" s="238" t="s">
        <v>6</v>
      </c>
      <c r="G76" s="236" t="str">
        <f t="shared" ref="G76" si="22">IF(E76-D76=0,"-",E76-D76)</f>
        <v>-</v>
      </c>
      <c r="H76" s="253">
        <v>2150.1</v>
      </c>
      <c r="I76" s="256">
        <v>1911.6862799999999</v>
      </c>
      <c r="J76" s="257">
        <f t="shared" si="16"/>
        <v>0.88911505511371558</v>
      </c>
      <c r="K76" s="235">
        <f t="shared" si="17"/>
        <v>-238.41372000000001</v>
      </c>
    </row>
    <row r="77" spans="1:11" ht="16.5" customHeight="1">
      <c r="A77" s="254"/>
      <c r="B77" s="198" t="s">
        <v>120</v>
      </c>
      <c r="C77" s="234"/>
      <c r="D77" s="237"/>
      <c r="E77" s="237"/>
      <c r="F77" s="239"/>
      <c r="G77" s="237"/>
      <c r="H77" s="253"/>
      <c r="I77" s="256"/>
      <c r="J77" s="257"/>
      <c r="K77" s="235"/>
    </row>
    <row r="78" spans="1:11">
      <c r="A78" s="254"/>
      <c r="B78" s="67" t="s">
        <v>124</v>
      </c>
      <c r="C78" s="68" t="s">
        <v>34</v>
      </c>
      <c r="D78" s="188">
        <v>0</v>
      </c>
      <c r="E78" s="204">
        <v>0</v>
      </c>
      <c r="F78" s="41"/>
      <c r="G78" s="40" t="str">
        <f t="shared" ref="G78:G81" si="23">IF(E78-D78=0,"-",E78-D78)</f>
        <v>-</v>
      </c>
      <c r="H78" s="253"/>
      <c r="I78" s="256"/>
      <c r="J78" s="257"/>
      <c r="K78" s="235"/>
    </row>
    <row r="79" spans="1:11">
      <c r="A79" s="254"/>
      <c r="B79" s="67" t="s">
        <v>136</v>
      </c>
      <c r="C79" s="68" t="s">
        <v>34</v>
      </c>
      <c r="D79" s="188">
        <v>0</v>
      </c>
      <c r="E79" s="204">
        <v>0</v>
      </c>
      <c r="F79" s="41"/>
      <c r="G79" s="40" t="str">
        <f t="shared" si="23"/>
        <v>-</v>
      </c>
      <c r="H79" s="253"/>
      <c r="I79" s="256"/>
      <c r="J79" s="257"/>
      <c r="K79" s="235"/>
    </row>
    <row r="80" spans="1:11">
      <c r="A80" s="254"/>
      <c r="B80" s="67" t="s">
        <v>121</v>
      </c>
      <c r="C80" s="68" t="s">
        <v>34</v>
      </c>
      <c r="D80" s="188">
        <v>0</v>
      </c>
      <c r="E80" s="204">
        <v>0</v>
      </c>
      <c r="F80" s="41"/>
      <c r="G80" s="40" t="str">
        <f t="shared" si="23"/>
        <v>-</v>
      </c>
      <c r="H80" s="253"/>
      <c r="I80" s="256"/>
      <c r="J80" s="257"/>
      <c r="K80" s="235"/>
    </row>
    <row r="81" spans="1:31" ht="118.5" customHeight="1">
      <c r="A81" s="254" t="s">
        <v>132</v>
      </c>
      <c r="B81" s="31" t="s">
        <v>134</v>
      </c>
      <c r="C81" s="233" t="s">
        <v>34</v>
      </c>
      <c r="D81" s="236">
        <f>SUM(D83:D85)</f>
        <v>554</v>
      </c>
      <c r="E81" s="236">
        <f>SUM(E83:E85)</f>
        <v>554</v>
      </c>
      <c r="F81" s="238" t="s">
        <v>6</v>
      </c>
      <c r="G81" s="236" t="str">
        <f t="shared" si="23"/>
        <v>-</v>
      </c>
      <c r="H81" s="253">
        <v>323379.8</v>
      </c>
      <c r="I81" s="256">
        <f>233010.159+90369.63</f>
        <v>323379.78899999999</v>
      </c>
      <c r="J81" s="257">
        <f t="shared" ref="J81" si="24">I81/H81</f>
        <v>0.99999996598426988</v>
      </c>
      <c r="K81" s="235">
        <f t="shared" ref="K81" si="25">I81-H81</f>
        <v>-1.0999999998603016E-2</v>
      </c>
    </row>
    <row r="82" spans="1:31" ht="18.75" customHeight="1">
      <c r="A82" s="254"/>
      <c r="B82" s="67" t="s">
        <v>120</v>
      </c>
      <c r="C82" s="234"/>
      <c r="D82" s="237"/>
      <c r="E82" s="237"/>
      <c r="F82" s="239"/>
      <c r="G82" s="237"/>
      <c r="H82" s="253"/>
      <c r="I82" s="256"/>
      <c r="J82" s="257"/>
      <c r="K82" s="235"/>
    </row>
    <row r="83" spans="1:31">
      <c r="A83" s="254"/>
      <c r="B83" s="67" t="s">
        <v>122</v>
      </c>
      <c r="C83" s="68" t="s">
        <v>34</v>
      </c>
      <c r="D83" s="40">
        <v>106</v>
      </c>
      <c r="E83" s="204">
        <v>106</v>
      </c>
      <c r="F83" s="41"/>
      <c r="G83" s="40" t="str">
        <f t="shared" ref="G83:G85" si="26">IF(E83-D83=0,"-",E83-D83)</f>
        <v>-</v>
      </c>
      <c r="H83" s="253"/>
      <c r="I83" s="256"/>
      <c r="J83" s="257"/>
      <c r="K83" s="235"/>
    </row>
    <row r="84" spans="1:31">
      <c r="A84" s="254"/>
      <c r="B84" s="67" t="s">
        <v>123</v>
      </c>
      <c r="C84" s="68" t="s">
        <v>34</v>
      </c>
      <c r="D84" s="40">
        <v>224</v>
      </c>
      <c r="E84" s="204">
        <v>224</v>
      </c>
      <c r="F84" s="41"/>
      <c r="G84" s="40" t="str">
        <f t="shared" si="26"/>
        <v>-</v>
      </c>
      <c r="H84" s="253"/>
      <c r="I84" s="256"/>
      <c r="J84" s="257"/>
      <c r="K84" s="235"/>
    </row>
    <row r="85" spans="1:31">
      <c r="A85" s="254"/>
      <c r="B85" s="67" t="s">
        <v>121</v>
      </c>
      <c r="C85" s="68" t="s">
        <v>34</v>
      </c>
      <c r="D85" s="40">
        <v>224</v>
      </c>
      <c r="E85" s="204">
        <v>224</v>
      </c>
      <c r="F85" s="41"/>
      <c r="G85" s="40" t="str">
        <f t="shared" si="26"/>
        <v>-</v>
      </c>
      <c r="H85" s="253"/>
      <c r="I85" s="256"/>
      <c r="J85" s="257"/>
      <c r="K85" s="235"/>
    </row>
    <row r="86" spans="1:31" ht="96" customHeight="1">
      <c r="A86" s="254" t="s">
        <v>133</v>
      </c>
      <c r="B86" s="31" t="s">
        <v>135</v>
      </c>
      <c r="C86" s="39" t="s">
        <v>6</v>
      </c>
      <c r="D86" s="40" t="s">
        <v>6</v>
      </c>
      <c r="E86" s="204" t="s">
        <v>6</v>
      </c>
      <c r="F86" s="41" t="s">
        <v>6</v>
      </c>
      <c r="G86" s="40" t="s">
        <v>6</v>
      </c>
      <c r="H86" s="253">
        <v>303675.7</v>
      </c>
      <c r="I86" s="256">
        <f>233010.159+70665.503</f>
        <v>303675.66200000001</v>
      </c>
      <c r="J86" s="257">
        <f t="shared" ref="J86" si="27">I86/H86</f>
        <v>0.99999987486651054</v>
      </c>
      <c r="K86" s="235">
        <f t="shared" ref="K86" si="28">I86-H86</f>
        <v>-3.8000000000465661E-2</v>
      </c>
    </row>
    <row r="87" spans="1:31" ht="31.5">
      <c r="A87" s="254"/>
      <c r="B87" s="67" t="s">
        <v>120</v>
      </c>
      <c r="C87" s="39" t="s">
        <v>34</v>
      </c>
      <c r="D87" s="40">
        <f>D88+D89+D90</f>
        <v>500</v>
      </c>
      <c r="E87" s="204">
        <f>E88+E89+E90</f>
        <v>500</v>
      </c>
      <c r="F87" s="41" t="s">
        <v>6</v>
      </c>
      <c r="G87" s="131" t="str">
        <f t="shared" ref="G87:G90" si="29">IF(E87-D87=0,"-",E87-D87)</f>
        <v>-</v>
      </c>
      <c r="H87" s="253"/>
      <c r="I87" s="256"/>
      <c r="J87" s="257"/>
      <c r="K87" s="235"/>
    </row>
    <row r="88" spans="1:31">
      <c r="A88" s="254"/>
      <c r="B88" s="67" t="s">
        <v>122</v>
      </c>
      <c r="C88" s="68" t="s">
        <v>34</v>
      </c>
      <c r="D88" s="40">
        <v>100</v>
      </c>
      <c r="E88" s="204">
        <v>100</v>
      </c>
      <c r="F88" s="41" t="s">
        <v>6</v>
      </c>
      <c r="G88" s="40" t="str">
        <f t="shared" si="29"/>
        <v>-</v>
      </c>
      <c r="H88" s="253"/>
      <c r="I88" s="256"/>
      <c r="J88" s="257"/>
      <c r="K88" s="235"/>
    </row>
    <row r="89" spans="1:31">
      <c r="A89" s="254"/>
      <c r="B89" s="67" t="s">
        <v>123</v>
      </c>
      <c r="C89" s="68" t="s">
        <v>34</v>
      </c>
      <c r="D89" s="40">
        <v>200</v>
      </c>
      <c r="E89" s="204">
        <v>200</v>
      </c>
      <c r="F89" s="41" t="s">
        <v>6</v>
      </c>
      <c r="G89" s="40" t="str">
        <f t="shared" si="29"/>
        <v>-</v>
      </c>
      <c r="H89" s="253"/>
      <c r="I89" s="256"/>
      <c r="J89" s="257"/>
      <c r="K89" s="235"/>
    </row>
    <row r="90" spans="1:31">
      <c r="A90" s="254"/>
      <c r="B90" s="67" t="s">
        <v>121</v>
      </c>
      <c r="C90" s="68" t="s">
        <v>34</v>
      </c>
      <c r="D90" s="40">
        <v>200</v>
      </c>
      <c r="E90" s="204">
        <v>200</v>
      </c>
      <c r="F90" s="41" t="s">
        <v>6</v>
      </c>
      <c r="G90" s="40" t="str">
        <f t="shared" si="29"/>
        <v>-</v>
      </c>
      <c r="H90" s="253"/>
      <c r="I90" s="256"/>
      <c r="J90" s="257"/>
      <c r="K90" s="235"/>
    </row>
    <row r="91" spans="1:31" s="24" customFormat="1" ht="131.25">
      <c r="A91" s="307" t="s">
        <v>19</v>
      </c>
      <c r="B91" s="213" t="s">
        <v>137</v>
      </c>
      <c r="C91" s="304" t="s">
        <v>18</v>
      </c>
      <c r="D91" s="305">
        <v>100</v>
      </c>
      <c r="E91" s="267">
        <v>100</v>
      </c>
      <c r="F91" s="270" t="s">
        <v>6</v>
      </c>
      <c r="G91" s="267" t="s">
        <v>6</v>
      </c>
      <c r="H91" s="271">
        <v>38.299999999999997</v>
      </c>
      <c r="I91" s="271">
        <v>38.299999999999997</v>
      </c>
      <c r="J91" s="272" t="s">
        <v>6</v>
      </c>
      <c r="K91" s="273" t="s">
        <v>6</v>
      </c>
    </row>
    <row r="92" spans="1:31" s="24" customFormat="1" ht="114" customHeight="1">
      <c r="A92" s="307"/>
      <c r="B92" s="214" t="s">
        <v>138</v>
      </c>
      <c r="C92" s="304"/>
      <c r="D92" s="305"/>
      <c r="E92" s="267"/>
      <c r="F92" s="270"/>
      <c r="G92" s="267"/>
      <c r="H92" s="271"/>
      <c r="I92" s="271"/>
      <c r="J92" s="272"/>
      <c r="K92" s="273"/>
    </row>
    <row r="93" spans="1:31" s="2" customFormat="1">
      <c r="A93" s="297" t="s">
        <v>139</v>
      </c>
      <c r="B93" s="303"/>
      <c r="C93" s="297"/>
      <c r="D93" s="297"/>
      <c r="E93" s="297"/>
      <c r="F93" s="297"/>
      <c r="G93" s="297"/>
      <c r="H93" s="297"/>
      <c r="I93" s="297"/>
      <c r="J93" s="297"/>
      <c r="K93" s="297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ht="56.25">
      <c r="A94" s="34" t="s">
        <v>20</v>
      </c>
      <c r="B94" s="31" t="s">
        <v>140</v>
      </c>
      <c r="C94" s="39" t="s">
        <v>6</v>
      </c>
      <c r="D94" s="40" t="s">
        <v>6</v>
      </c>
      <c r="E94" s="204" t="s">
        <v>6</v>
      </c>
      <c r="F94" s="40" t="s">
        <v>6</v>
      </c>
      <c r="G94" s="40" t="s">
        <v>6</v>
      </c>
      <c r="H94" s="209">
        <f>H95+H118+H126+H128+H130+H133+H137+H139+H141+H143+H145+H147+H149</f>
        <v>4127659.1999999993</v>
      </c>
      <c r="I94" s="209">
        <f>I95+I118+I126+I128+I130+I133+I137+I139+I141+I143+I145+I147+I149</f>
        <v>4067614.6019100007</v>
      </c>
      <c r="J94" s="37">
        <f t="shared" ref="J94" si="30">I94/H94</f>
        <v>0.98545311151414861</v>
      </c>
      <c r="K94" s="215">
        <f t="shared" ref="K94" si="31">I94-H94</f>
        <v>-60044.598089998588</v>
      </c>
    </row>
    <row r="95" spans="1:31" ht="37.5">
      <c r="A95" s="34" t="s">
        <v>50</v>
      </c>
      <c r="B95" s="60" t="s">
        <v>168</v>
      </c>
      <c r="C95" s="39" t="s">
        <v>6</v>
      </c>
      <c r="D95" s="39" t="s">
        <v>6</v>
      </c>
      <c r="E95" s="200" t="s">
        <v>6</v>
      </c>
      <c r="F95" s="39" t="s">
        <v>6</v>
      </c>
      <c r="G95" s="39" t="s">
        <v>6</v>
      </c>
      <c r="H95" s="209">
        <f>721637.7+H114+H116</f>
        <v>722689.7</v>
      </c>
      <c r="I95" s="210">
        <f>418.745+315+220+1500+675734.95971-12099.29496+48543.78636+I114+I116-0.061</f>
        <v>715459.92350999999</v>
      </c>
      <c r="J95" s="189">
        <f>I95/H95</f>
        <v>0.98999601559286099</v>
      </c>
      <c r="K95" s="215">
        <f>I95-H95</f>
        <v>-7229.7764899999602</v>
      </c>
    </row>
    <row r="96" spans="1:31" ht="37.5">
      <c r="A96" s="35"/>
      <c r="B96" s="60" t="s">
        <v>146</v>
      </c>
      <c r="C96" s="255" t="s">
        <v>13</v>
      </c>
      <c r="D96" s="255">
        <v>35</v>
      </c>
      <c r="E96" s="262">
        <v>35</v>
      </c>
      <c r="F96" s="262" t="s">
        <v>6</v>
      </c>
      <c r="G96" s="262" t="str">
        <f>IF(E96-D96=0,"-",E96-D96)</f>
        <v>-</v>
      </c>
      <c r="H96" s="253">
        <v>315</v>
      </c>
      <c r="I96" s="253">
        <v>315</v>
      </c>
      <c r="J96" s="257">
        <f t="shared" ref="J96:J152" si="32">I96/H96</f>
        <v>1</v>
      </c>
      <c r="K96" s="235">
        <f t="shared" ref="K96:K152" si="33">I96-H96</f>
        <v>0</v>
      </c>
    </row>
    <row r="97" spans="1:11" ht="37.5">
      <c r="A97" s="35"/>
      <c r="B97" s="60" t="s">
        <v>148</v>
      </c>
      <c r="C97" s="255"/>
      <c r="D97" s="255"/>
      <c r="E97" s="262"/>
      <c r="F97" s="262"/>
      <c r="G97" s="262"/>
      <c r="H97" s="253"/>
      <c r="I97" s="253"/>
      <c r="J97" s="257"/>
      <c r="K97" s="235"/>
    </row>
    <row r="98" spans="1:11" ht="37.5">
      <c r="A98" s="35"/>
      <c r="B98" s="60" t="s">
        <v>147</v>
      </c>
      <c r="C98" s="255" t="s">
        <v>10</v>
      </c>
      <c r="D98" s="255">
        <v>3</v>
      </c>
      <c r="E98" s="262">
        <v>3</v>
      </c>
      <c r="F98" s="262" t="s">
        <v>6</v>
      </c>
      <c r="G98" s="262" t="str">
        <f>IF(E98-D98=0,"-",E98-D98)</f>
        <v>-</v>
      </c>
      <c r="H98" s="253">
        <v>1500</v>
      </c>
      <c r="I98" s="253">
        <v>1500</v>
      </c>
      <c r="J98" s="257">
        <f t="shared" ref="J98" si="34">I98/H98</f>
        <v>1</v>
      </c>
      <c r="K98" s="235">
        <f t="shared" ref="K98" si="35">I98-H98</f>
        <v>0</v>
      </c>
    </row>
    <row r="99" spans="1:11" ht="37.5">
      <c r="A99" s="35"/>
      <c r="B99" s="60" t="s">
        <v>149</v>
      </c>
      <c r="C99" s="255"/>
      <c r="D99" s="255"/>
      <c r="E99" s="262"/>
      <c r="F99" s="262"/>
      <c r="G99" s="262"/>
      <c r="H99" s="253"/>
      <c r="I99" s="253"/>
      <c r="J99" s="257"/>
      <c r="K99" s="235"/>
    </row>
    <row r="100" spans="1:11" ht="19.5" customHeight="1">
      <c r="A100" s="35"/>
      <c r="B100" s="60" t="s">
        <v>150</v>
      </c>
      <c r="C100" s="255" t="s">
        <v>13</v>
      </c>
      <c r="D100" s="255">
        <v>2</v>
      </c>
      <c r="E100" s="262">
        <v>2</v>
      </c>
      <c r="F100" s="262" t="s">
        <v>6</v>
      </c>
      <c r="G100" s="262" t="str">
        <f t="shared" ref="G100" si="36">IF(E100-D100=0,"-",E100-D100)</f>
        <v>-</v>
      </c>
      <c r="H100" s="253">
        <v>20</v>
      </c>
      <c r="I100" s="253">
        <v>20</v>
      </c>
      <c r="J100" s="257">
        <f t="shared" ref="J100" si="37">I100/H100</f>
        <v>1</v>
      </c>
      <c r="K100" s="235">
        <f t="shared" ref="K100" si="38">I100-H100</f>
        <v>0</v>
      </c>
    </row>
    <row r="101" spans="1:11" ht="37.5">
      <c r="A101" s="35"/>
      <c r="B101" s="60" t="s">
        <v>153</v>
      </c>
      <c r="C101" s="255"/>
      <c r="D101" s="255"/>
      <c r="E101" s="262"/>
      <c r="F101" s="262"/>
      <c r="G101" s="262"/>
      <c r="H101" s="253"/>
      <c r="I101" s="253"/>
      <c r="J101" s="257"/>
      <c r="K101" s="235"/>
    </row>
    <row r="102" spans="1:11" ht="37.5">
      <c r="A102" s="35"/>
      <c r="B102" s="60" t="s">
        <v>151</v>
      </c>
      <c r="C102" s="255" t="s">
        <v>13</v>
      </c>
      <c r="D102" s="255">
        <v>4</v>
      </c>
      <c r="E102" s="262">
        <v>4</v>
      </c>
      <c r="F102" s="252" t="s">
        <v>6</v>
      </c>
      <c r="G102" s="262" t="str">
        <f t="shared" ref="G102" si="39">IF(E102-D102=0,"-",E102-D102)</f>
        <v>-</v>
      </c>
      <c r="H102" s="253">
        <v>200</v>
      </c>
      <c r="I102" s="253">
        <v>200</v>
      </c>
      <c r="J102" s="257">
        <f t="shared" ref="J102" si="40">I102/H102</f>
        <v>1</v>
      </c>
      <c r="K102" s="235">
        <f t="shared" ref="K102" si="41">I102-H102</f>
        <v>0</v>
      </c>
    </row>
    <row r="103" spans="1:11" ht="37.5">
      <c r="A103" s="35"/>
      <c r="B103" s="60" t="s">
        <v>154</v>
      </c>
      <c r="C103" s="255"/>
      <c r="D103" s="255"/>
      <c r="E103" s="262"/>
      <c r="F103" s="252"/>
      <c r="G103" s="262"/>
      <c r="H103" s="253"/>
      <c r="I103" s="253"/>
      <c r="J103" s="257"/>
      <c r="K103" s="235"/>
    </row>
    <row r="104" spans="1:11">
      <c r="A104" s="197"/>
      <c r="B104" s="60" t="s">
        <v>152</v>
      </c>
      <c r="C104" s="255" t="s">
        <v>13</v>
      </c>
      <c r="D104" s="255">
        <v>2</v>
      </c>
      <c r="E104" s="262">
        <v>0</v>
      </c>
      <c r="F104" s="308" t="s">
        <v>6</v>
      </c>
      <c r="G104" s="262">
        <f t="shared" ref="G104" si="42">IF(E104-D104=0,"-",E104-D104)</f>
        <v>-2</v>
      </c>
      <c r="H104" s="253">
        <v>40</v>
      </c>
      <c r="I104" s="253">
        <v>0</v>
      </c>
      <c r="J104" s="257">
        <f t="shared" ref="J104" si="43">I104/H104</f>
        <v>0</v>
      </c>
      <c r="K104" s="235">
        <f t="shared" ref="K104" si="44">I104-H104</f>
        <v>-40</v>
      </c>
    </row>
    <row r="105" spans="1:11" ht="37.5">
      <c r="A105" s="197"/>
      <c r="B105" s="60" t="s">
        <v>155</v>
      </c>
      <c r="C105" s="255"/>
      <c r="D105" s="255"/>
      <c r="E105" s="262"/>
      <c r="F105" s="308"/>
      <c r="G105" s="262"/>
      <c r="H105" s="253"/>
      <c r="I105" s="253"/>
      <c r="J105" s="257"/>
      <c r="K105" s="235"/>
    </row>
    <row r="106" spans="1:11" ht="135" customHeight="1">
      <c r="A106" s="35"/>
      <c r="B106" s="60" t="s">
        <v>156</v>
      </c>
      <c r="C106" s="233" t="s">
        <v>10</v>
      </c>
      <c r="D106" s="233">
        <v>97</v>
      </c>
      <c r="E106" s="236">
        <v>97</v>
      </c>
      <c r="F106" s="238" t="s">
        <v>6</v>
      </c>
      <c r="G106" s="236" t="str">
        <f>IF(E106-D106=0,"-",E106-D106)</f>
        <v>-</v>
      </c>
      <c r="H106" s="224">
        <v>12732.4</v>
      </c>
      <c r="I106" s="224">
        <v>12732.4</v>
      </c>
      <c r="J106" s="229">
        <f t="shared" si="32"/>
        <v>1</v>
      </c>
      <c r="K106" s="226">
        <f t="shared" si="33"/>
        <v>0</v>
      </c>
    </row>
    <row r="107" spans="1:11" ht="38.25" customHeight="1">
      <c r="A107" s="35"/>
      <c r="B107" s="60" t="s">
        <v>158</v>
      </c>
      <c r="C107" s="280"/>
      <c r="D107" s="280"/>
      <c r="E107" s="292"/>
      <c r="F107" s="310"/>
      <c r="G107" s="292"/>
      <c r="H107" s="225"/>
      <c r="I107" s="225"/>
      <c r="J107" s="231"/>
      <c r="K107" s="228"/>
    </row>
    <row r="108" spans="1:11" ht="56.25" customHeight="1">
      <c r="A108" s="35"/>
      <c r="B108" s="60" t="s">
        <v>170</v>
      </c>
      <c r="C108" s="233" t="s">
        <v>10</v>
      </c>
      <c r="D108" s="233">
        <v>42</v>
      </c>
      <c r="E108" s="236">
        <v>42</v>
      </c>
      <c r="F108" s="238" t="s">
        <v>6</v>
      </c>
      <c r="G108" s="236" t="s">
        <v>6</v>
      </c>
      <c r="H108" s="224">
        <v>34199.5</v>
      </c>
      <c r="I108" s="222">
        <v>27242.738010000001</v>
      </c>
      <c r="J108" s="257">
        <f t="shared" si="32"/>
        <v>0.79658293279141512</v>
      </c>
      <c r="K108" s="235">
        <f t="shared" si="33"/>
        <v>-6956.7619899999991</v>
      </c>
    </row>
    <row r="109" spans="1:11" ht="75">
      <c r="A109" s="36"/>
      <c r="B109" s="60" t="s">
        <v>157</v>
      </c>
      <c r="C109" s="234"/>
      <c r="D109" s="234"/>
      <c r="E109" s="237"/>
      <c r="F109" s="239"/>
      <c r="G109" s="237"/>
      <c r="H109" s="225"/>
      <c r="I109" s="223"/>
      <c r="J109" s="257"/>
      <c r="K109" s="235"/>
    </row>
    <row r="110" spans="1:11" ht="210.75" customHeight="1">
      <c r="A110" s="254"/>
      <c r="B110" s="31" t="s">
        <v>159</v>
      </c>
      <c r="C110" s="154"/>
      <c r="D110" s="172"/>
      <c r="E110" s="202"/>
      <c r="F110" s="183" t="s">
        <v>6</v>
      </c>
      <c r="G110" s="155">
        <f>E110-D110</f>
        <v>0</v>
      </c>
      <c r="H110" s="253">
        <v>1302.7</v>
      </c>
      <c r="I110" s="253">
        <v>1302.7</v>
      </c>
      <c r="J110" s="257">
        <f>I110/H110</f>
        <v>1</v>
      </c>
      <c r="K110" s="235">
        <f>I110-H110</f>
        <v>0</v>
      </c>
    </row>
    <row r="111" spans="1:11" ht="37.5">
      <c r="A111" s="254"/>
      <c r="B111" s="31" t="s">
        <v>160</v>
      </c>
      <c r="C111" s="156" t="s">
        <v>10</v>
      </c>
      <c r="D111" s="156">
        <v>1</v>
      </c>
      <c r="E111" s="204">
        <v>1</v>
      </c>
      <c r="F111" s="173"/>
      <c r="G111" s="76"/>
      <c r="H111" s="253"/>
      <c r="I111" s="253"/>
      <c r="J111" s="257"/>
      <c r="K111" s="235"/>
    </row>
    <row r="112" spans="1:11" ht="96.75" customHeight="1">
      <c r="A112" s="254"/>
      <c r="B112" s="31" t="s">
        <v>161</v>
      </c>
      <c r="C112" s="255" t="s">
        <v>10</v>
      </c>
      <c r="D112" s="255">
        <v>1</v>
      </c>
      <c r="E112" s="262">
        <v>1</v>
      </c>
      <c r="F112" s="278" t="s">
        <v>6</v>
      </c>
      <c r="G112" s="236">
        <f>E112-D112</f>
        <v>0</v>
      </c>
      <c r="H112" s="253">
        <v>180</v>
      </c>
      <c r="I112" s="253">
        <v>180</v>
      </c>
      <c r="J112" s="257">
        <f t="shared" ref="J112" si="45">I112/H112</f>
        <v>1</v>
      </c>
      <c r="K112" s="235">
        <f t="shared" ref="K112" si="46">I112-H112</f>
        <v>0</v>
      </c>
    </row>
    <row r="113" spans="1:31" ht="38.25" customHeight="1">
      <c r="A113" s="258"/>
      <c r="B113" s="31" t="s">
        <v>162</v>
      </c>
      <c r="C113" s="255"/>
      <c r="D113" s="255"/>
      <c r="E113" s="262"/>
      <c r="F113" s="279"/>
      <c r="G113" s="237"/>
      <c r="H113" s="253"/>
      <c r="I113" s="253"/>
      <c r="J113" s="257"/>
      <c r="K113" s="235"/>
    </row>
    <row r="114" spans="1:31">
      <c r="A114" s="258"/>
      <c r="B114" s="60" t="s">
        <v>163</v>
      </c>
      <c r="C114" s="262" t="s">
        <v>10</v>
      </c>
      <c r="D114" s="262">
        <v>1</v>
      </c>
      <c r="E114" s="277">
        <v>1</v>
      </c>
      <c r="F114" s="252" t="s">
        <v>6</v>
      </c>
      <c r="G114" s="262">
        <f>E114-D114</f>
        <v>0</v>
      </c>
      <c r="H114" s="253">
        <v>800</v>
      </c>
      <c r="I114" s="253">
        <v>799.99998000000005</v>
      </c>
      <c r="J114" s="257">
        <f t="shared" si="32"/>
        <v>0.99999997500000004</v>
      </c>
      <c r="K114" s="235">
        <f t="shared" si="33"/>
        <v>-1.9999999949504854E-5</v>
      </c>
    </row>
    <row r="115" spans="1:31" ht="41.25" customHeight="1">
      <c r="A115" s="260"/>
      <c r="B115" s="60" t="s">
        <v>164</v>
      </c>
      <c r="C115" s="262"/>
      <c r="D115" s="262"/>
      <c r="E115" s="277"/>
      <c r="F115" s="252"/>
      <c r="G115" s="262"/>
      <c r="H115" s="253"/>
      <c r="I115" s="253"/>
      <c r="J115" s="257"/>
      <c r="K115" s="235"/>
    </row>
    <row r="116" spans="1:31" ht="19.5" customHeight="1">
      <c r="A116" s="260"/>
      <c r="B116" s="60" t="s">
        <v>166</v>
      </c>
      <c r="C116" s="262" t="s">
        <v>10</v>
      </c>
      <c r="D116" s="262">
        <v>4</v>
      </c>
      <c r="E116" s="277">
        <v>0</v>
      </c>
      <c r="F116" s="252" t="s">
        <v>6</v>
      </c>
      <c r="G116" s="262">
        <f>E116-D116</f>
        <v>-4</v>
      </c>
      <c r="H116" s="253">
        <v>252</v>
      </c>
      <c r="I116" s="253">
        <v>26.788419999999999</v>
      </c>
      <c r="J116" s="257">
        <f t="shared" si="32"/>
        <v>0.10630325396825396</v>
      </c>
      <c r="K116" s="235">
        <f t="shared" si="33"/>
        <v>-225.21158</v>
      </c>
    </row>
    <row r="117" spans="1:31" ht="75">
      <c r="A117" s="259"/>
      <c r="B117" s="60" t="s">
        <v>165</v>
      </c>
      <c r="C117" s="262" t="s">
        <v>10</v>
      </c>
      <c r="D117" s="262">
        <v>8</v>
      </c>
      <c r="E117" s="277"/>
      <c r="F117" s="252" t="s">
        <v>6</v>
      </c>
      <c r="G117" s="262"/>
      <c r="H117" s="253"/>
      <c r="I117" s="253"/>
      <c r="J117" s="257"/>
      <c r="K117" s="235"/>
    </row>
    <row r="118" spans="1:31">
      <c r="A118" s="259" t="s">
        <v>71</v>
      </c>
      <c r="B118" s="31" t="s">
        <v>167</v>
      </c>
      <c r="C118" s="255" t="s">
        <v>6</v>
      </c>
      <c r="D118" s="262" t="s">
        <v>6</v>
      </c>
      <c r="E118" s="262" t="s">
        <v>6</v>
      </c>
      <c r="F118" s="252" t="s">
        <v>6</v>
      </c>
      <c r="G118" s="262" t="s">
        <v>6</v>
      </c>
      <c r="H118" s="209">
        <v>660032.30000000005</v>
      </c>
      <c r="I118" s="209">
        <f>657887.38689-246.489+2244.73804</f>
        <v>659885.63592999999</v>
      </c>
      <c r="J118" s="93">
        <f t="shared" ref="J118" si="47">I118/H118</f>
        <v>0.9997777925868172</v>
      </c>
      <c r="K118" s="215">
        <f t="shared" ref="K118" si="48">I118-H118</f>
        <v>-146.66407000005711</v>
      </c>
    </row>
    <row r="119" spans="1:31" ht="137.25" customHeight="1">
      <c r="A119" s="254"/>
      <c r="B119" s="31" t="s">
        <v>169</v>
      </c>
      <c r="C119" s="255"/>
      <c r="D119" s="255"/>
      <c r="E119" s="255"/>
      <c r="F119" s="252"/>
      <c r="G119" s="262"/>
      <c r="H119" s="209">
        <v>0</v>
      </c>
      <c r="I119" s="209">
        <v>0</v>
      </c>
      <c r="J119" s="93" t="s">
        <v>6</v>
      </c>
      <c r="K119" s="215" t="s">
        <v>6</v>
      </c>
    </row>
    <row r="120" spans="1:31" ht="60" customHeight="1">
      <c r="A120" s="254"/>
      <c r="B120" s="31" t="s">
        <v>170</v>
      </c>
      <c r="C120" s="255" t="s">
        <v>10</v>
      </c>
      <c r="D120" s="262">
        <v>4</v>
      </c>
      <c r="E120" s="262">
        <v>4</v>
      </c>
      <c r="F120" s="252" t="s">
        <v>6</v>
      </c>
      <c r="G120" s="262" t="str">
        <f>IF(E120-D120=0,"-",E120-D120)</f>
        <v>-</v>
      </c>
      <c r="H120" s="253">
        <v>978</v>
      </c>
      <c r="I120" s="256">
        <v>872.64359999999999</v>
      </c>
      <c r="J120" s="257">
        <f t="shared" ref="J120" si="49">I120/H120</f>
        <v>0.89227361963190188</v>
      </c>
      <c r="K120" s="235">
        <f t="shared" ref="K120" si="50">I120-H120</f>
        <v>-105.35640000000001</v>
      </c>
    </row>
    <row r="121" spans="1:31" ht="75">
      <c r="A121" s="254"/>
      <c r="B121" s="60" t="s">
        <v>197</v>
      </c>
      <c r="C121" s="255"/>
      <c r="D121" s="262"/>
      <c r="E121" s="262"/>
      <c r="F121" s="252"/>
      <c r="G121" s="262"/>
      <c r="H121" s="253"/>
      <c r="I121" s="256"/>
      <c r="J121" s="257"/>
      <c r="K121" s="235"/>
    </row>
    <row r="122" spans="1:31" ht="212.25" customHeight="1">
      <c r="A122" s="254"/>
      <c r="B122" s="31" t="s">
        <v>171</v>
      </c>
      <c r="C122" s="255"/>
      <c r="D122" s="262"/>
      <c r="E122" s="262"/>
      <c r="F122" s="252" t="s">
        <v>6</v>
      </c>
      <c r="G122" s="262" t="str">
        <f>IF(E122-D122=0,"-",E122-D122)</f>
        <v>-</v>
      </c>
      <c r="H122" s="253">
        <v>0</v>
      </c>
      <c r="I122" s="253">
        <v>0</v>
      </c>
      <c r="J122" s="257" t="s">
        <v>6</v>
      </c>
      <c r="K122" s="235" t="s">
        <v>6</v>
      </c>
    </row>
    <row r="123" spans="1:31" ht="37.5">
      <c r="A123" s="254"/>
      <c r="B123" s="31" t="s">
        <v>160</v>
      </c>
      <c r="C123" s="255"/>
      <c r="D123" s="262"/>
      <c r="E123" s="262"/>
      <c r="F123" s="252"/>
      <c r="G123" s="262"/>
      <c r="H123" s="253"/>
      <c r="I123" s="253"/>
      <c r="J123" s="257"/>
      <c r="K123" s="235"/>
    </row>
    <row r="124" spans="1:31" ht="96.75" customHeight="1">
      <c r="A124" s="254"/>
      <c r="B124" s="31" t="s">
        <v>172</v>
      </c>
      <c r="C124" s="255" t="s">
        <v>10</v>
      </c>
      <c r="D124" s="255">
        <v>0</v>
      </c>
      <c r="E124" s="262">
        <v>0</v>
      </c>
      <c r="F124" s="252" t="s">
        <v>6</v>
      </c>
      <c r="G124" s="262">
        <f>E124-D124</f>
        <v>0</v>
      </c>
      <c r="H124" s="253">
        <v>0</v>
      </c>
      <c r="I124" s="253">
        <v>0</v>
      </c>
      <c r="J124" s="257" t="s">
        <v>6</v>
      </c>
      <c r="K124" s="235" t="s">
        <v>6</v>
      </c>
    </row>
    <row r="125" spans="1:31" ht="37.5">
      <c r="A125" s="254"/>
      <c r="B125" s="31" t="s">
        <v>162</v>
      </c>
      <c r="C125" s="255"/>
      <c r="D125" s="255"/>
      <c r="E125" s="262"/>
      <c r="F125" s="252"/>
      <c r="G125" s="262"/>
      <c r="H125" s="253"/>
      <c r="I125" s="253"/>
      <c r="J125" s="257"/>
      <c r="K125" s="235"/>
    </row>
    <row r="126" spans="1:31" s="51" customFormat="1" ht="93.75">
      <c r="A126" s="258" t="s">
        <v>72</v>
      </c>
      <c r="B126" s="31" t="s">
        <v>173</v>
      </c>
      <c r="C126" s="263" t="s">
        <v>13</v>
      </c>
      <c r="D126" s="263">
        <v>103</v>
      </c>
      <c r="E126" s="236">
        <v>103</v>
      </c>
      <c r="F126" s="238" t="s">
        <v>6</v>
      </c>
      <c r="G126" s="275" t="str">
        <f>IF(E126-D126=0,"-",E126-D126)</f>
        <v>-</v>
      </c>
      <c r="H126" s="224">
        <v>74896.399999999994</v>
      </c>
      <c r="I126" s="222">
        <f>74380.24374+516.11112</f>
        <v>74896.354860000007</v>
      </c>
      <c r="J126" s="229">
        <f t="shared" si="32"/>
        <v>0.999999397300805</v>
      </c>
      <c r="K126" s="226">
        <f t="shared" si="33"/>
        <v>-4.5139999987441115E-2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s="7" customFormat="1" ht="54.75" customHeight="1">
      <c r="A127" s="259"/>
      <c r="B127" s="31" t="s">
        <v>51</v>
      </c>
      <c r="C127" s="264"/>
      <c r="D127" s="264"/>
      <c r="E127" s="237"/>
      <c r="F127" s="239"/>
      <c r="G127" s="276"/>
      <c r="H127" s="225"/>
      <c r="I127" s="223"/>
      <c r="J127" s="231"/>
      <c r="K127" s="228"/>
    </row>
    <row r="128" spans="1:31" ht="37.5">
      <c r="A128" s="258" t="s">
        <v>73</v>
      </c>
      <c r="B128" s="31" t="s">
        <v>196</v>
      </c>
      <c r="C128" s="233" t="s">
        <v>14</v>
      </c>
      <c r="D128" s="275">
        <v>62.3</v>
      </c>
      <c r="E128" s="275">
        <v>62.3</v>
      </c>
      <c r="F128" s="314" t="s">
        <v>6</v>
      </c>
      <c r="G128" s="275" t="s">
        <v>6</v>
      </c>
      <c r="H128" s="224">
        <v>162816.29999999999</v>
      </c>
      <c r="I128" s="222">
        <f>8096.51236+102.21307+11511.64+97466.06935+0.2</f>
        <v>117176.63478000001</v>
      </c>
      <c r="J128" s="229">
        <f t="shared" si="32"/>
        <v>0.71968614186663138</v>
      </c>
      <c r="K128" s="226">
        <f t="shared" si="33"/>
        <v>-45639.665219999981</v>
      </c>
    </row>
    <row r="129" spans="1:11">
      <c r="A129" s="259"/>
      <c r="B129" s="31" t="s">
        <v>195</v>
      </c>
      <c r="C129" s="234"/>
      <c r="D129" s="276"/>
      <c r="E129" s="276"/>
      <c r="F129" s="315"/>
      <c r="G129" s="276"/>
      <c r="H129" s="225"/>
      <c r="I129" s="223"/>
      <c r="J129" s="231"/>
      <c r="K129" s="228"/>
    </row>
    <row r="130" spans="1:11" s="7" customFormat="1" ht="37.5" customHeight="1">
      <c r="A130" s="254" t="s">
        <v>74</v>
      </c>
      <c r="B130" s="31" t="s">
        <v>174</v>
      </c>
      <c r="C130" s="92" t="s">
        <v>6</v>
      </c>
      <c r="D130" s="45" t="s">
        <v>6</v>
      </c>
      <c r="E130" s="204" t="s">
        <v>6</v>
      </c>
      <c r="F130" s="47" t="s">
        <v>6</v>
      </c>
      <c r="G130" s="46" t="s">
        <v>6</v>
      </c>
      <c r="H130" s="253">
        <v>2074412.2</v>
      </c>
      <c r="I130" s="253">
        <f>2008079.8319+66332.3681</f>
        <v>2074412.2000000002</v>
      </c>
      <c r="J130" s="257">
        <f>I130/H130</f>
        <v>1.0000000000000002</v>
      </c>
      <c r="K130" s="235">
        <f>I130-H130</f>
        <v>0</v>
      </c>
    </row>
    <row r="131" spans="1:11" s="7" customFormat="1" ht="56.25">
      <c r="A131" s="254"/>
      <c r="B131" s="60" t="s">
        <v>145</v>
      </c>
      <c r="C131" s="39" t="s">
        <v>10</v>
      </c>
      <c r="D131" s="40">
        <v>98</v>
      </c>
      <c r="E131" s="204">
        <v>98</v>
      </c>
      <c r="F131" s="177" t="s">
        <v>6</v>
      </c>
      <c r="G131" s="178" t="str">
        <f>IF(E131-D131=0,"-",E131-D13116)</f>
        <v>-</v>
      </c>
      <c r="H131" s="253"/>
      <c r="I131" s="253"/>
      <c r="J131" s="257"/>
      <c r="K131" s="235"/>
    </row>
    <row r="132" spans="1:11" s="7" customFormat="1" ht="37.5">
      <c r="A132" s="254"/>
      <c r="B132" s="60" t="s">
        <v>144</v>
      </c>
      <c r="C132" s="39" t="s">
        <v>52</v>
      </c>
      <c r="D132" s="39">
        <v>115.1</v>
      </c>
      <c r="E132" s="201">
        <f>68.616+49.153</f>
        <v>117.76900000000001</v>
      </c>
      <c r="F132" s="177" t="s">
        <v>6</v>
      </c>
      <c r="G132" s="180">
        <f>IF(E132-D132=0,"-",E132-D132)</f>
        <v>2.6690000000000111</v>
      </c>
      <c r="H132" s="253"/>
      <c r="I132" s="253"/>
      <c r="J132" s="257"/>
      <c r="K132" s="235"/>
    </row>
    <row r="133" spans="1:11" s="7" customFormat="1" ht="37.5" customHeight="1">
      <c r="A133" s="254" t="s">
        <v>75</v>
      </c>
      <c r="B133" s="31" t="s">
        <v>175</v>
      </c>
      <c r="C133" s="48" t="s">
        <v>6</v>
      </c>
      <c r="D133" s="48" t="s">
        <v>6</v>
      </c>
      <c r="E133" s="206" t="s">
        <v>6</v>
      </c>
      <c r="F133" s="177" t="s">
        <v>6</v>
      </c>
      <c r="G133" s="178" t="s">
        <v>6</v>
      </c>
      <c r="H133" s="253">
        <v>19942.5</v>
      </c>
      <c r="I133" s="253">
        <v>19908.657670000001</v>
      </c>
      <c r="J133" s="257">
        <f>I133/H133</f>
        <v>0.99830300463833521</v>
      </c>
      <c r="K133" s="235">
        <f>I133-H133</f>
        <v>-33.842329999999492</v>
      </c>
    </row>
    <row r="134" spans="1:11" s="7" customFormat="1" ht="75">
      <c r="A134" s="254"/>
      <c r="B134" s="190" t="s">
        <v>288</v>
      </c>
      <c r="C134" s="91" t="s">
        <v>10</v>
      </c>
      <c r="D134" s="65">
        <v>5</v>
      </c>
      <c r="E134" s="204">
        <v>5</v>
      </c>
      <c r="F134" s="177" t="s">
        <v>6</v>
      </c>
      <c r="G134" s="178" t="str">
        <f>IF(E134-D134=0,"-",E134-D13119)</f>
        <v>-</v>
      </c>
      <c r="H134" s="253"/>
      <c r="I134" s="253"/>
      <c r="J134" s="257"/>
      <c r="K134" s="235"/>
    </row>
    <row r="135" spans="1:11" s="7" customFormat="1">
      <c r="A135" s="254"/>
      <c r="B135" s="31" t="s">
        <v>194</v>
      </c>
      <c r="C135" s="91" t="s">
        <v>10</v>
      </c>
      <c r="D135" s="65">
        <v>3</v>
      </c>
      <c r="E135" s="204">
        <v>3</v>
      </c>
      <c r="F135" s="177" t="s">
        <v>6</v>
      </c>
      <c r="G135" s="178" t="str">
        <f>IF(E135-D135=0,"-",E135-D13120)</f>
        <v>-</v>
      </c>
      <c r="H135" s="253"/>
      <c r="I135" s="253"/>
      <c r="J135" s="257"/>
      <c r="K135" s="235"/>
    </row>
    <row r="136" spans="1:11" s="7" customFormat="1" ht="56.25">
      <c r="A136" s="254"/>
      <c r="B136" s="31" t="s">
        <v>193</v>
      </c>
      <c r="C136" s="77" t="s">
        <v>14</v>
      </c>
      <c r="D136" s="57">
        <v>0.8</v>
      </c>
      <c r="E136" s="201">
        <v>0.8</v>
      </c>
      <c r="F136" s="177" t="s">
        <v>6</v>
      </c>
      <c r="G136" s="178" t="str">
        <f>IF(E136-D136=0,"-",E136-D13121)</f>
        <v>-</v>
      </c>
      <c r="H136" s="253"/>
      <c r="I136" s="253"/>
      <c r="J136" s="257"/>
      <c r="K136" s="235"/>
    </row>
    <row r="137" spans="1:11" s="7" customFormat="1" ht="18" customHeight="1">
      <c r="A137" s="254" t="s">
        <v>76</v>
      </c>
      <c r="B137" s="31" t="s">
        <v>55</v>
      </c>
      <c r="C137" s="255" t="s">
        <v>10</v>
      </c>
      <c r="D137" s="262">
        <v>93</v>
      </c>
      <c r="E137" s="262">
        <f>78+12</f>
        <v>90</v>
      </c>
      <c r="F137" s="311" t="s">
        <v>6</v>
      </c>
      <c r="G137" s="236">
        <f>IF(E137-D137=0,"-",E137-D137)</f>
        <v>-3</v>
      </c>
      <c r="H137" s="253">
        <v>85570.4</v>
      </c>
      <c r="I137" s="256">
        <f>83818.715+1751.632+0.1</f>
        <v>85570.447</v>
      </c>
      <c r="J137" s="229">
        <f t="shared" ref="J137" si="51">I137/H137</f>
        <v>1.0000005492553501</v>
      </c>
      <c r="K137" s="226">
        <f t="shared" ref="K137" si="52">I137-H137</f>
        <v>4.7000000005937181E-2</v>
      </c>
    </row>
    <row r="138" spans="1:11" s="7" customFormat="1" ht="38.25" customHeight="1">
      <c r="A138" s="254"/>
      <c r="B138" s="31" t="s">
        <v>192</v>
      </c>
      <c r="C138" s="255"/>
      <c r="D138" s="262"/>
      <c r="E138" s="262"/>
      <c r="F138" s="311"/>
      <c r="G138" s="237"/>
      <c r="H138" s="253"/>
      <c r="I138" s="256"/>
      <c r="J138" s="231"/>
      <c r="K138" s="228"/>
    </row>
    <row r="139" spans="1:11" s="7" customFormat="1" ht="37.5" customHeight="1">
      <c r="A139" s="254" t="s">
        <v>77</v>
      </c>
      <c r="B139" s="31" t="s">
        <v>176</v>
      </c>
      <c r="C139" s="255" t="s">
        <v>14</v>
      </c>
      <c r="D139" s="261">
        <v>2.1</v>
      </c>
      <c r="E139" s="261">
        <v>2.0369999999999999</v>
      </c>
      <c r="F139" s="252" t="s">
        <v>6</v>
      </c>
      <c r="G139" s="275">
        <f>IF(E139-D139=0,"-",E139-D139)</f>
        <v>-6.3000000000000167E-2</v>
      </c>
      <c r="H139" s="253">
        <v>68500</v>
      </c>
      <c r="I139" s="256">
        <v>68500</v>
      </c>
      <c r="J139" s="229">
        <f t="shared" ref="J139" si="53">I139/H139</f>
        <v>1</v>
      </c>
      <c r="K139" s="226">
        <f t="shared" ref="K139" si="54">I139-H139</f>
        <v>0</v>
      </c>
    </row>
    <row r="140" spans="1:11" s="7" customFormat="1" ht="37.5">
      <c r="A140" s="254"/>
      <c r="B140" s="31" t="s">
        <v>191</v>
      </c>
      <c r="C140" s="255"/>
      <c r="D140" s="261"/>
      <c r="E140" s="261"/>
      <c r="F140" s="252"/>
      <c r="G140" s="276"/>
      <c r="H140" s="253"/>
      <c r="I140" s="256"/>
      <c r="J140" s="231"/>
      <c r="K140" s="228"/>
    </row>
    <row r="141" spans="1:11" s="7" customFormat="1" ht="37.5" customHeight="1">
      <c r="A141" s="254" t="s">
        <v>177</v>
      </c>
      <c r="B141" s="31" t="s">
        <v>178</v>
      </c>
      <c r="C141" s="255" t="s">
        <v>14</v>
      </c>
      <c r="D141" s="253">
        <v>1.1000000000000001</v>
      </c>
      <c r="E141" s="253">
        <v>1.02</v>
      </c>
      <c r="F141" s="252" t="s">
        <v>6</v>
      </c>
      <c r="G141" s="275">
        <f>IF(E141-D141=0,"-",E141-D141)</f>
        <v>-8.0000000000000071E-2</v>
      </c>
      <c r="H141" s="253">
        <v>100000</v>
      </c>
      <c r="I141" s="256">
        <v>100000</v>
      </c>
      <c r="J141" s="229">
        <f t="shared" ref="J141" si="55">I141/H141</f>
        <v>1</v>
      </c>
      <c r="K141" s="226">
        <f t="shared" ref="K141" si="56">I141-H141</f>
        <v>0</v>
      </c>
    </row>
    <row r="142" spans="1:11" s="7" customFormat="1" ht="37.5">
      <c r="A142" s="254"/>
      <c r="B142" s="31" t="s">
        <v>190</v>
      </c>
      <c r="C142" s="255"/>
      <c r="D142" s="253"/>
      <c r="E142" s="253"/>
      <c r="F142" s="252"/>
      <c r="G142" s="276"/>
      <c r="H142" s="253"/>
      <c r="I142" s="256"/>
      <c r="J142" s="231"/>
      <c r="K142" s="228"/>
    </row>
    <row r="143" spans="1:11" s="7" customFormat="1" ht="56.25">
      <c r="A143" s="254" t="s">
        <v>179</v>
      </c>
      <c r="B143" s="31" t="s">
        <v>94</v>
      </c>
      <c r="C143" s="255" t="s">
        <v>10</v>
      </c>
      <c r="D143" s="262">
        <v>5</v>
      </c>
      <c r="E143" s="262">
        <f>26+5</f>
        <v>31</v>
      </c>
      <c r="F143" s="252" t="s">
        <v>6</v>
      </c>
      <c r="G143" s="236">
        <f>IF(E143-D143=0,"-",E143-D143)</f>
        <v>26</v>
      </c>
      <c r="H143" s="253">
        <v>26964.400000000001</v>
      </c>
      <c r="I143" s="256">
        <f>23107.84929+3272.777</f>
        <v>26380.62629</v>
      </c>
      <c r="J143" s="229">
        <f t="shared" ref="J143" si="57">I143/H143</f>
        <v>0.9783502058269421</v>
      </c>
      <c r="K143" s="226">
        <f t="shared" ref="K143" si="58">I143-H143</f>
        <v>-583.7737100000013</v>
      </c>
    </row>
    <row r="144" spans="1:11" s="7" customFormat="1" ht="57.75" customHeight="1">
      <c r="A144" s="254"/>
      <c r="B144" s="31" t="s">
        <v>189</v>
      </c>
      <c r="C144" s="255"/>
      <c r="D144" s="262"/>
      <c r="E144" s="262"/>
      <c r="F144" s="252"/>
      <c r="G144" s="237"/>
      <c r="H144" s="253"/>
      <c r="I144" s="256"/>
      <c r="J144" s="231"/>
      <c r="K144" s="228"/>
    </row>
    <row r="145" spans="1:31" s="7" customFormat="1" ht="37.5" customHeight="1">
      <c r="A145" s="254" t="s">
        <v>180</v>
      </c>
      <c r="B145" s="31" t="s">
        <v>187</v>
      </c>
      <c r="C145" s="255" t="s">
        <v>14</v>
      </c>
      <c r="D145" s="253">
        <v>2.6</v>
      </c>
      <c r="E145" s="253">
        <v>2.4409999999999998</v>
      </c>
      <c r="F145" s="290" t="s">
        <v>6</v>
      </c>
      <c r="G145" s="275">
        <f>IF(E145-D145=0,"-",E145-D145)</f>
        <v>-0.15900000000000025</v>
      </c>
      <c r="H145" s="253">
        <v>77598.399999999994</v>
      </c>
      <c r="I145" s="256">
        <v>74529.399999999994</v>
      </c>
      <c r="J145" s="229">
        <f t="shared" ref="J145" si="59">I145/H145</f>
        <v>0.96045021546836018</v>
      </c>
      <c r="K145" s="226">
        <f t="shared" ref="K145" si="60">I145-H145</f>
        <v>-3069</v>
      </c>
    </row>
    <row r="146" spans="1:31" s="7" customFormat="1" ht="56.25">
      <c r="A146" s="254"/>
      <c r="B146" s="31" t="s">
        <v>188</v>
      </c>
      <c r="C146" s="255"/>
      <c r="D146" s="253"/>
      <c r="E146" s="253"/>
      <c r="F146" s="290"/>
      <c r="G146" s="276"/>
      <c r="H146" s="253"/>
      <c r="I146" s="256"/>
      <c r="J146" s="231"/>
      <c r="K146" s="228"/>
    </row>
    <row r="147" spans="1:31" s="7" customFormat="1" ht="56.25">
      <c r="A147" s="254" t="s">
        <v>181</v>
      </c>
      <c r="B147" s="31" t="s">
        <v>185</v>
      </c>
      <c r="C147" s="255" t="s">
        <v>10</v>
      </c>
      <c r="D147" s="262">
        <v>98</v>
      </c>
      <c r="E147" s="262">
        <v>84</v>
      </c>
      <c r="F147" s="252" t="s">
        <v>6</v>
      </c>
      <c r="G147" s="236">
        <f>IF(E147-D147=0,"-",E147-D147)</f>
        <v>-14</v>
      </c>
      <c r="H147" s="253">
        <v>6042.3</v>
      </c>
      <c r="I147" s="256">
        <v>6042.3</v>
      </c>
      <c r="J147" s="229">
        <f t="shared" ref="J147" si="61">I147/H147</f>
        <v>1</v>
      </c>
      <c r="K147" s="226">
        <f t="shared" ref="K147" si="62">I147-H147</f>
        <v>0</v>
      </c>
    </row>
    <row r="148" spans="1:31" s="7" customFormat="1" ht="56.25">
      <c r="A148" s="254"/>
      <c r="B148" s="31" t="s">
        <v>186</v>
      </c>
      <c r="C148" s="255"/>
      <c r="D148" s="262"/>
      <c r="E148" s="262"/>
      <c r="F148" s="252"/>
      <c r="G148" s="237"/>
      <c r="H148" s="253"/>
      <c r="I148" s="256"/>
      <c r="J148" s="231"/>
      <c r="K148" s="228"/>
    </row>
    <row r="149" spans="1:31" s="7" customFormat="1" ht="37.5" customHeight="1">
      <c r="A149" s="254" t="s">
        <v>182</v>
      </c>
      <c r="B149" s="31" t="s">
        <v>184</v>
      </c>
      <c r="C149" s="255" t="s">
        <v>10</v>
      </c>
      <c r="D149" s="262">
        <v>11</v>
      </c>
      <c r="E149" s="262">
        <v>11</v>
      </c>
      <c r="F149" s="252" t="s">
        <v>6</v>
      </c>
      <c r="G149" s="275" t="str">
        <f>IF(E149-D149=0,"-",E149-D149)</f>
        <v>-</v>
      </c>
      <c r="H149" s="253">
        <v>48194.3</v>
      </c>
      <c r="I149" s="256">
        <f>6727.8214+9531.17551+28593.42496</f>
        <v>44852.421869999998</v>
      </c>
      <c r="J149" s="229">
        <f t="shared" ref="J149" si="63">I149/H149</f>
        <v>0.93065822867019532</v>
      </c>
      <c r="K149" s="226">
        <f t="shared" ref="K149" si="64">I149-H149</f>
        <v>-3341.8781300000046</v>
      </c>
    </row>
    <row r="150" spans="1:31" s="7" customFormat="1" ht="56.25">
      <c r="A150" s="254"/>
      <c r="B150" s="31" t="s">
        <v>183</v>
      </c>
      <c r="C150" s="255"/>
      <c r="D150" s="262"/>
      <c r="E150" s="262"/>
      <c r="F150" s="252"/>
      <c r="G150" s="276"/>
      <c r="H150" s="253"/>
      <c r="I150" s="256"/>
      <c r="J150" s="231"/>
      <c r="K150" s="228"/>
    </row>
    <row r="151" spans="1:31" s="102" customFormat="1">
      <c r="A151" s="88" t="s">
        <v>21</v>
      </c>
      <c r="B151" s="31" t="s">
        <v>80</v>
      </c>
      <c r="C151" s="80"/>
      <c r="D151" s="80"/>
      <c r="E151" s="203" t="s">
        <v>6</v>
      </c>
      <c r="F151" s="84" t="s">
        <v>6</v>
      </c>
      <c r="G151" s="79" t="s">
        <v>6</v>
      </c>
      <c r="H151" s="207">
        <f>SUM(H152:H155)</f>
        <v>13378.5</v>
      </c>
      <c r="I151" s="207">
        <f>SUM(I152:I155)</f>
        <v>8389.8585800000001</v>
      </c>
      <c r="J151" s="81">
        <f>I151/H151</f>
        <v>0.62711504129760443</v>
      </c>
      <c r="K151" s="216">
        <f>I151-H151</f>
        <v>-4988.6414199999999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s="51" customFormat="1" ht="75">
      <c r="A152" s="254" t="s">
        <v>58</v>
      </c>
      <c r="B152" s="31" t="s">
        <v>198</v>
      </c>
      <c r="C152" s="255" t="s">
        <v>10</v>
      </c>
      <c r="D152" s="262">
        <v>1</v>
      </c>
      <c r="E152" s="262">
        <v>1</v>
      </c>
      <c r="F152" s="252" t="s">
        <v>6</v>
      </c>
      <c r="G152" s="262" t="str">
        <f>IF(E152-D152=0,"-",E152-D152)</f>
        <v>-</v>
      </c>
      <c r="H152" s="253">
        <v>13378.5</v>
      </c>
      <c r="I152" s="256">
        <f>1880.79511+6509.06347</f>
        <v>8389.8585800000001</v>
      </c>
      <c r="J152" s="257">
        <f t="shared" si="32"/>
        <v>0.62711504129760443</v>
      </c>
      <c r="K152" s="235">
        <f t="shared" si="33"/>
        <v>-4988.6414199999999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75">
      <c r="A153" s="254"/>
      <c r="B153" s="31" t="s">
        <v>199</v>
      </c>
      <c r="C153" s="255"/>
      <c r="D153" s="262"/>
      <c r="E153" s="262"/>
      <c r="F153" s="252"/>
      <c r="G153" s="262"/>
      <c r="H153" s="253"/>
      <c r="I153" s="256"/>
      <c r="J153" s="257"/>
      <c r="K153" s="235"/>
    </row>
    <row r="154" spans="1:31" s="51" customFormat="1">
      <c r="A154" s="254" t="s">
        <v>57</v>
      </c>
      <c r="B154" s="31" t="s">
        <v>200</v>
      </c>
      <c r="C154" s="255" t="s">
        <v>34</v>
      </c>
      <c r="D154" s="262" t="s">
        <v>6</v>
      </c>
      <c r="E154" s="262" t="s">
        <v>6</v>
      </c>
      <c r="F154" s="252" t="s">
        <v>6</v>
      </c>
      <c r="G154" s="252" t="s">
        <v>6</v>
      </c>
      <c r="H154" s="253">
        <v>0</v>
      </c>
      <c r="I154" s="253">
        <v>0</v>
      </c>
      <c r="J154" s="252" t="s">
        <v>6</v>
      </c>
      <c r="K154" s="253" t="s">
        <v>6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22.5" customHeight="1">
      <c r="A155" s="254"/>
      <c r="B155" s="31" t="s">
        <v>201</v>
      </c>
      <c r="C155" s="255"/>
      <c r="D155" s="262"/>
      <c r="E155" s="262"/>
      <c r="F155" s="252"/>
      <c r="G155" s="252"/>
      <c r="H155" s="253"/>
      <c r="I155" s="253"/>
      <c r="J155" s="252"/>
      <c r="K155" s="253"/>
    </row>
    <row r="156" spans="1:31" ht="60" customHeight="1">
      <c r="A156" s="258" t="s">
        <v>202</v>
      </c>
      <c r="B156" s="31" t="s">
        <v>282</v>
      </c>
      <c r="C156" s="255" t="s">
        <v>34</v>
      </c>
      <c r="D156" s="262" t="s">
        <v>6</v>
      </c>
      <c r="E156" s="262" t="s">
        <v>6</v>
      </c>
      <c r="F156" s="252" t="s">
        <v>6</v>
      </c>
      <c r="G156" s="252" t="s">
        <v>6</v>
      </c>
      <c r="H156" s="253">
        <v>0</v>
      </c>
      <c r="I156" s="253">
        <v>0</v>
      </c>
      <c r="J156" s="252" t="s">
        <v>6</v>
      </c>
      <c r="K156" s="253" t="s">
        <v>6</v>
      </c>
    </row>
    <row r="157" spans="1:31" ht="19.5" customHeight="1">
      <c r="A157" s="259"/>
      <c r="B157" s="31" t="s">
        <v>201</v>
      </c>
      <c r="C157" s="255"/>
      <c r="D157" s="262"/>
      <c r="E157" s="262"/>
      <c r="F157" s="252"/>
      <c r="G157" s="252"/>
      <c r="H157" s="253"/>
      <c r="I157" s="253"/>
      <c r="J157" s="252"/>
      <c r="K157" s="253"/>
    </row>
    <row r="158" spans="1:31" ht="19.5" customHeight="1">
      <c r="A158" s="274" t="s">
        <v>204</v>
      </c>
      <c r="B158" s="31" t="s">
        <v>203</v>
      </c>
      <c r="C158" s="255" t="s">
        <v>34</v>
      </c>
      <c r="D158" s="262" t="s">
        <v>6</v>
      </c>
      <c r="E158" s="262" t="s">
        <v>6</v>
      </c>
      <c r="F158" s="252" t="s">
        <v>6</v>
      </c>
      <c r="G158" s="252" t="s">
        <v>6</v>
      </c>
      <c r="H158" s="253">
        <v>0</v>
      </c>
      <c r="I158" s="253">
        <v>0</v>
      </c>
      <c r="J158" s="252" t="s">
        <v>6</v>
      </c>
      <c r="K158" s="253" t="s">
        <v>6</v>
      </c>
    </row>
    <row r="159" spans="1:31" ht="19.5" customHeight="1">
      <c r="A159" s="259"/>
      <c r="B159" s="31" t="s">
        <v>201</v>
      </c>
      <c r="C159" s="255"/>
      <c r="D159" s="262"/>
      <c r="E159" s="262"/>
      <c r="F159" s="252"/>
      <c r="G159" s="252"/>
      <c r="H159" s="253"/>
      <c r="I159" s="253"/>
      <c r="J159" s="252"/>
      <c r="K159" s="253"/>
    </row>
    <row r="160" spans="1:31" s="102" customFormat="1" ht="56.25">
      <c r="A160" s="258" t="s">
        <v>22</v>
      </c>
      <c r="B160" s="31" t="s">
        <v>81</v>
      </c>
      <c r="C160" s="263" t="s">
        <v>10</v>
      </c>
      <c r="D160" s="262">
        <v>1</v>
      </c>
      <c r="E160" s="236">
        <v>1</v>
      </c>
      <c r="F160" s="252" t="s">
        <v>6</v>
      </c>
      <c r="G160" s="262" t="str">
        <f>IF(E160-D160=0,"-",E160-D160)</f>
        <v>-</v>
      </c>
      <c r="H160" s="224">
        <v>1176.5</v>
      </c>
      <c r="I160" s="224">
        <v>1176.5</v>
      </c>
      <c r="J160" s="229">
        <f>I160/H160</f>
        <v>1</v>
      </c>
      <c r="K160" s="226">
        <f>I160-H160</f>
        <v>0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s="7" customFormat="1" ht="56.25" customHeight="1">
      <c r="A161" s="259"/>
      <c r="B161" s="31" t="s">
        <v>205</v>
      </c>
      <c r="C161" s="264"/>
      <c r="D161" s="262"/>
      <c r="E161" s="237"/>
      <c r="F161" s="252"/>
      <c r="G161" s="262"/>
      <c r="H161" s="232"/>
      <c r="I161" s="232"/>
      <c r="J161" s="230"/>
      <c r="K161" s="227"/>
    </row>
    <row r="162" spans="1:31" s="7" customFormat="1" ht="56.25">
      <c r="A162" s="181"/>
      <c r="B162" s="184" t="s">
        <v>286</v>
      </c>
      <c r="C162" s="182" t="s">
        <v>18</v>
      </c>
      <c r="D162" s="180">
        <v>25</v>
      </c>
      <c r="E162" s="201">
        <v>25</v>
      </c>
      <c r="F162" s="176" t="s">
        <v>6</v>
      </c>
      <c r="G162" s="180" t="str">
        <f t="shared" ref="G162:G163" si="65">IF(E162-D162=0,"-",E162-D162)</f>
        <v>-</v>
      </c>
      <c r="H162" s="232"/>
      <c r="I162" s="232"/>
      <c r="J162" s="230"/>
      <c r="K162" s="227"/>
    </row>
    <row r="163" spans="1:31" s="7" customFormat="1" ht="56.25">
      <c r="A163" s="181"/>
      <c r="B163" s="184" t="s">
        <v>287</v>
      </c>
      <c r="C163" s="182" t="s">
        <v>18</v>
      </c>
      <c r="D163" s="180">
        <v>21</v>
      </c>
      <c r="E163" s="201">
        <v>21</v>
      </c>
      <c r="F163" s="176" t="s">
        <v>6</v>
      </c>
      <c r="G163" s="180" t="str">
        <f t="shared" si="65"/>
        <v>-</v>
      </c>
      <c r="H163" s="225"/>
      <c r="I163" s="225"/>
      <c r="J163" s="231"/>
      <c r="K163" s="228"/>
    </row>
    <row r="164" spans="1:31" s="102" customFormat="1" ht="18.75" customHeight="1">
      <c r="A164" s="88">
        <v>7</v>
      </c>
      <c r="B164" s="31" t="s">
        <v>207</v>
      </c>
      <c r="C164" s="80"/>
      <c r="D164" s="80"/>
      <c r="E164" s="203" t="s">
        <v>6</v>
      </c>
      <c r="F164" s="84" t="s">
        <v>6</v>
      </c>
      <c r="G164" s="79" t="s">
        <v>6</v>
      </c>
      <c r="H164" s="207">
        <f>H165</f>
        <v>2595.9</v>
      </c>
      <c r="I164" s="207">
        <f>I165</f>
        <v>2538.2660000000001</v>
      </c>
      <c r="J164" s="81">
        <f>I164/H164</f>
        <v>0.97779806618128584</v>
      </c>
      <c r="K164" s="216">
        <f>I164-H164</f>
        <v>-57.634000000000015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s="51" customFormat="1" ht="56.25">
      <c r="A165" s="254" t="s">
        <v>206</v>
      </c>
      <c r="B165" s="31" t="s">
        <v>208</v>
      </c>
      <c r="C165" s="255" t="s">
        <v>10</v>
      </c>
      <c r="D165" s="262">
        <v>1</v>
      </c>
      <c r="E165" s="236">
        <v>1</v>
      </c>
      <c r="F165" s="252" t="s">
        <v>6</v>
      </c>
      <c r="G165" s="262" t="str">
        <f>IF(E165-D165=0,"-",E165-D165)</f>
        <v>-</v>
      </c>
      <c r="H165" s="253">
        <v>2595.9</v>
      </c>
      <c r="I165" s="253">
        <f>519.373+2018.893</f>
        <v>2538.2660000000001</v>
      </c>
      <c r="J165" s="229">
        <f>I165/H165</f>
        <v>0.97779806618128584</v>
      </c>
      <c r="K165" s="226">
        <f>I165-H165</f>
        <v>-57.634000000000015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56.25">
      <c r="A166" s="254"/>
      <c r="B166" s="31" t="s">
        <v>209</v>
      </c>
      <c r="C166" s="255"/>
      <c r="D166" s="262"/>
      <c r="E166" s="237"/>
      <c r="F166" s="252"/>
      <c r="G166" s="262"/>
      <c r="H166" s="253"/>
      <c r="I166" s="253"/>
      <c r="J166" s="231"/>
      <c r="K166" s="228"/>
    </row>
    <row r="167" spans="1:31" s="25" customFormat="1" ht="136.5" customHeight="1">
      <c r="A167" s="265" t="s">
        <v>24</v>
      </c>
      <c r="B167" s="32" t="s">
        <v>210</v>
      </c>
      <c r="C167" s="266" t="s">
        <v>18</v>
      </c>
      <c r="D167" s="267">
        <v>100</v>
      </c>
      <c r="E167" s="268">
        <v>100</v>
      </c>
      <c r="F167" s="270"/>
      <c r="G167" s="267"/>
      <c r="H167" s="271">
        <v>33.700000000000003</v>
      </c>
      <c r="I167" s="253">
        <v>33.700000000000003</v>
      </c>
      <c r="J167" s="272" t="s">
        <v>6</v>
      </c>
      <c r="K167" s="273" t="s">
        <v>6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1:31" s="104" customFormat="1" ht="150">
      <c r="A168" s="265"/>
      <c r="B168" s="32" t="s">
        <v>211</v>
      </c>
      <c r="C168" s="266"/>
      <c r="D168" s="267"/>
      <c r="E168" s="269"/>
      <c r="F168" s="270"/>
      <c r="G168" s="267"/>
      <c r="H168" s="271"/>
      <c r="I168" s="253"/>
      <c r="J168" s="272"/>
      <c r="K168" s="273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1:31" s="2" customFormat="1">
      <c r="A169" s="297" t="s">
        <v>212</v>
      </c>
      <c r="B169" s="297"/>
      <c r="C169" s="297"/>
      <c r="D169" s="297"/>
      <c r="E169" s="297"/>
      <c r="F169" s="297"/>
      <c r="G169" s="297"/>
      <c r="H169" s="297"/>
      <c r="I169" s="297"/>
      <c r="J169" s="297"/>
      <c r="K169" s="297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1:31" s="51" customFormat="1" ht="56.25">
      <c r="A170" s="86">
        <v>9</v>
      </c>
      <c r="B170" s="31" t="s">
        <v>213</v>
      </c>
      <c r="C170" s="42" t="s">
        <v>6</v>
      </c>
      <c r="D170" s="42" t="s">
        <v>6</v>
      </c>
      <c r="E170" s="178" t="s">
        <v>6</v>
      </c>
      <c r="F170" s="41" t="s">
        <v>6</v>
      </c>
      <c r="G170" s="40" t="s">
        <v>6</v>
      </c>
      <c r="H170" s="209">
        <f>H171+H177</f>
        <v>43996.5</v>
      </c>
      <c r="I170" s="209">
        <f>I171+I177</f>
        <v>43995.145700000008</v>
      </c>
      <c r="J170" s="37">
        <f>I170/H170</f>
        <v>0.99996921800597793</v>
      </c>
      <c r="K170" s="215">
        <f>I170-H170</f>
        <v>-1.3542999999917811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>
      <c r="A171" s="86" t="s">
        <v>60</v>
      </c>
      <c r="B171" s="60" t="s">
        <v>214</v>
      </c>
      <c r="C171" s="39" t="s">
        <v>6</v>
      </c>
      <c r="D171" s="39" t="s">
        <v>6</v>
      </c>
      <c r="E171" s="179" t="s">
        <v>6</v>
      </c>
      <c r="F171" s="41" t="s">
        <v>6</v>
      </c>
      <c r="G171" s="40" t="s">
        <v>6</v>
      </c>
      <c r="H171" s="240">
        <v>36348.199999999997</v>
      </c>
      <c r="I171" s="249">
        <v>36346.840700000008</v>
      </c>
      <c r="J171" s="246">
        <f>I171/H171</f>
        <v>0.9999626033751331</v>
      </c>
      <c r="K171" s="243">
        <f>I171-H171</f>
        <v>-1.3592999999891617</v>
      </c>
    </row>
    <row r="172" spans="1:31" ht="75">
      <c r="A172" s="260"/>
      <c r="B172" s="60" t="s">
        <v>215</v>
      </c>
      <c r="C172" s="39" t="s">
        <v>15</v>
      </c>
      <c r="D172" s="39">
        <v>99</v>
      </c>
      <c r="E172" s="200">
        <f>6+1</f>
        <v>7</v>
      </c>
      <c r="F172" s="41" t="s">
        <v>6</v>
      </c>
      <c r="G172" s="82">
        <f t="shared" ref="G172:G174" si="66">IF(E172-D172=0,"-",E172-D172)</f>
        <v>-92</v>
      </c>
      <c r="H172" s="241"/>
      <c r="I172" s="250"/>
      <c r="J172" s="247"/>
      <c r="K172" s="244"/>
    </row>
    <row r="173" spans="1:31" ht="56.25">
      <c r="A173" s="260"/>
      <c r="B173" s="60" t="s">
        <v>216</v>
      </c>
      <c r="C173" s="39" t="s">
        <v>14</v>
      </c>
      <c r="D173" s="192">
        <v>1.4</v>
      </c>
      <c r="E173" s="205">
        <v>1.36</v>
      </c>
      <c r="F173" s="90" t="s">
        <v>6</v>
      </c>
      <c r="G173" s="192">
        <f t="shared" si="66"/>
        <v>-3.9999999999999813E-2</v>
      </c>
      <c r="H173" s="241"/>
      <c r="I173" s="250"/>
      <c r="J173" s="247"/>
      <c r="K173" s="244"/>
    </row>
    <row r="174" spans="1:31" ht="75">
      <c r="A174" s="259"/>
      <c r="B174" s="60" t="s">
        <v>217</v>
      </c>
      <c r="C174" s="89" t="s">
        <v>14</v>
      </c>
      <c r="D174" s="192">
        <v>1.4</v>
      </c>
      <c r="E174" s="205">
        <v>1.4</v>
      </c>
      <c r="F174" s="90" t="s">
        <v>6</v>
      </c>
      <c r="G174" s="20" t="str">
        <f t="shared" si="66"/>
        <v>-</v>
      </c>
      <c r="H174" s="242"/>
      <c r="I174" s="251"/>
      <c r="J174" s="248"/>
      <c r="K174" s="245"/>
    </row>
    <row r="175" spans="1:31" ht="37.5">
      <c r="A175" s="259" t="s">
        <v>218</v>
      </c>
      <c r="B175" s="31" t="s">
        <v>219</v>
      </c>
      <c r="C175" s="39" t="s">
        <v>6</v>
      </c>
      <c r="D175" s="39" t="s">
        <v>6</v>
      </c>
      <c r="E175" s="200" t="s">
        <v>6</v>
      </c>
      <c r="F175" s="41" t="s">
        <v>6</v>
      </c>
      <c r="G175" s="40" t="s">
        <v>6</v>
      </c>
      <c r="H175" s="253">
        <v>2037</v>
      </c>
      <c r="I175" s="256">
        <v>2037</v>
      </c>
      <c r="J175" s="257">
        <f>I175/H175</f>
        <v>1</v>
      </c>
      <c r="K175" s="235">
        <f>I175-H175</f>
        <v>0</v>
      </c>
    </row>
    <row r="176" spans="1:31" ht="56.25">
      <c r="A176" s="254"/>
      <c r="B176" s="31" t="s">
        <v>220</v>
      </c>
      <c r="C176" s="39" t="s">
        <v>10</v>
      </c>
      <c r="D176" s="40">
        <v>7</v>
      </c>
      <c r="E176" s="204">
        <v>7</v>
      </c>
      <c r="F176" s="41" t="s">
        <v>6</v>
      </c>
      <c r="G176" s="40" t="str">
        <f t="shared" ref="G176" si="67">IF(E176-D176=0,"-",E176-D176)</f>
        <v>-</v>
      </c>
      <c r="H176" s="253"/>
      <c r="I176" s="256"/>
      <c r="J176" s="257"/>
      <c r="K176" s="235"/>
    </row>
    <row r="177" spans="1:31" ht="37.5">
      <c r="A177" s="254" t="s">
        <v>66</v>
      </c>
      <c r="B177" s="31" t="s">
        <v>221</v>
      </c>
      <c r="C177" s="105"/>
      <c r="D177" s="103"/>
      <c r="E177" s="103"/>
      <c r="F177" s="106"/>
      <c r="G177" s="106"/>
      <c r="H177" s="253">
        <v>7648.3</v>
      </c>
      <c r="I177" s="256">
        <v>7648.3050000000003</v>
      </c>
      <c r="J177" s="257">
        <f t="shared" ref="J177" si="68">I177/H177</f>
        <v>1.0000006537400468</v>
      </c>
      <c r="K177" s="235">
        <f t="shared" ref="K177" si="69">I177-H177</f>
        <v>5.0000000001091394E-3</v>
      </c>
    </row>
    <row r="178" spans="1:31" ht="37.5">
      <c r="A178" s="254"/>
      <c r="B178" s="31" t="s">
        <v>222</v>
      </c>
      <c r="C178" s="65" t="s">
        <v>10</v>
      </c>
      <c r="D178" s="82">
        <v>234</v>
      </c>
      <c r="E178" s="204">
        <f>84+136+14</f>
        <v>234</v>
      </c>
      <c r="F178" s="83" t="s">
        <v>6</v>
      </c>
      <c r="G178" s="82" t="str">
        <f t="shared" ref="G178:G179" si="70">IF(E178-D178=0,"-",E178-D178)</f>
        <v>-</v>
      </c>
      <c r="H178" s="253"/>
      <c r="I178" s="256"/>
      <c r="J178" s="257"/>
      <c r="K178" s="235"/>
    </row>
    <row r="179" spans="1:31" ht="37.5">
      <c r="A179" s="254"/>
      <c r="B179" s="31" t="s">
        <v>223</v>
      </c>
      <c r="C179" s="65" t="s">
        <v>52</v>
      </c>
      <c r="D179" s="192">
        <v>2.4</v>
      </c>
      <c r="E179" s="205">
        <v>2.29</v>
      </c>
      <c r="F179" s="83" t="s">
        <v>6</v>
      </c>
      <c r="G179" s="205">
        <f t="shared" si="70"/>
        <v>-0.10999999999999988</v>
      </c>
      <c r="H179" s="253"/>
      <c r="I179" s="256"/>
      <c r="J179" s="257"/>
      <c r="K179" s="235"/>
    </row>
    <row r="180" spans="1:31" s="2" customFormat="1">
      <c r="A180" s="297" t="s">
        <v>59</v>
      </c>
      <c r="B180" s="297"/>
      <c r="C180" s="297"/>
      <c r="D180" s="297"/>
      <c r="E180" s="297"/>
      <c r="F180" s="297"/>
      <c r="G180" s="297"/>
      <c r="H180" s="297"/>
      <c r="I180" s="297"/>
      <c r="J180" s="297"/>
      <c r="K180" s="297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31" s="7" customFormat="1" ht="75">
      <c r="A181" s="38" t="s">
        <v>26</v>
      </c>
      <c r="B181" s="31" t="s">
        <v>224</v>
      </c>
      <c r="C181" s="39" t="s">
        <v>6</v>
      </c>
      <c r="D181" s="40" t="s">
        <v>6</v>
      </c>
      <c r="E181" s="178" t="s">
        <v>6</v>
      </c>
      <c r="F181" s="41" t="s">
        <v>6</v>
      </c>
      <c r="G181" s="40" t="s">
        <v>6</v>
      </c>
      <c r="H181" s="209">
        <f>H182+H184+H186</f>
        <v>184196.2</v>
      </c>
      <c r="I181" s="209">
        <f>I182+I184+I186</f>
        <v>174232.37969999999</v>
      </c>
      <c r="J181" s="37">
        <f t="shared" ref="J181:J186" si="71">I181/H181</f>
        <v>0.9459064828698962</v>
      </c>
      <c r="K181" s="215">
        <f t="shared" ref="K181:K186" si="72">I181-H181</f>
        <v>-9963.8203000000212</v>
      </c>
    </row>
    <row r="182" spans="1:31" ht="37.5">
      <c r="A182" s="254" t="s">
        <v>67</v>
      </c>
      <c r="B182" s="31" t="s">
        <v>61</v>
      </c>
      <c r="C182" s="255" t="s">
        <v>10</v>
      </c>
      <c r="D182" s="255">
        <v>1</v>
      </c>
      <c r="E182" s="255">
        <v>1</v>
      </c>
      <c r="F182" s="255" t="s">
        <v>6</v>
      </c>
      <c r="G182" s="255" t="str">
        <f t="shared" ref="G182" si="73">IF(E182-D182=0,"-",E182-D182)</f>
        <v>-</v>
      </c>
      <c r="H182" s="253">
        <v>52034.9</v>
      </c>
      <c r="I182" s="256">
        <v>51321.242200000001</v>
      </c>
      <c r="J182" s="257">
        <f t="shared" si="71"/>
        <v>0.98628501640245292</v>
      </c>
      <c r="K182" s="235">
        <f t="shared" si="72"/>
        <v>-713.65780000000086</v>
      </c>
    </row>
    <row r="183" spans="1:31" ht="37.5">
      <c r="A183" s="254"/>
      <c r="B183" s="31" t="s">
        <v>231</v>
      </c>
      <c r="C183" s="255" t="s">
        <v>10</v>
      </c>
      <c r="D183" s="255"/>
      <c r="E183" s="255"/>
      <c r="F183" s="255"/>
      <c r="G183" s="255"/>
      <c r="H183" s="253"/>
      <c r="I183" s="256"/>
      <c r="J183" s="257"/>
      <c r="K183" s="235"/>
    </row>
    <row r="184" spans="1:31" ht="37.5">
      <c r="A184" s="254" t="s">
        <v>225</v>
      </c>
      <c r="B184" s="31" t="s">
        <v>62</v>
      </c>
      <c r="C184" s="255" t="s">
        <v>10</v>
      </c>
      <c r="D184" s="255">
        <v>9</v>
      </c>
      <c r="E184" s="255">
        <v>5</v>
      </c>
      <c r="F184" s="255" t="s">
        <v>6</v>
      </c>
      <c r="G184" s="255">
        <f t="shared" ref="G184" si="74">IF(E184-D184=0,"-",E184-D184)</f>
        <v>-4</v>
      </c>
      <c r="H184" s="253">
        <v>370</v>
      </c>
      <c r="I184" s="256">
        <v>343.02616999999998</v>
      </c>
      <c r="J184" s="257">
        <f t="shared" ref="J184" si="75">I184/H184</f>
        <v>0.92709775675675665</v>
      </c>
      <c r="K184" s="235">
        <f t="shared" ref="K184" si="76">I184-H184</f>
        <v>-26.973830000000021</v>
      </c>
    </row>
    <row r="185" spans="1:31" ht="37.5">
      <c r="A185" s="254"/>
      <c r="B185" s="31" t="s">
        <v>232</v>
      </c>
      <c r="C185" s="255"/>
      <c r="D185" s="255"/>
      <c r="E185" s="255"/>
      <c r="F185" s="255"/>
      <c r="G185" s="255"/>
      <c r="H185" s="253"/>
      <c r="I185" s="256"/>
      <c r="J185" s="257"/>
      <c r="K185" s="235"/>
    </row>
    <row r="186" spans="1:31" s="4" customFormat="1">
      <c r="A186" s="85" t="s">
        <v>226</v>
      </c>
      <c r="B186" s="31" t="s">
        <v>227</v>
      </c>
      <c r="C186" s="39" t="s">
        <v>6</v>
      </c>
      <c r="D186" s="40" t="s">
        <v>6</v>
      </c>
      <c r="E186" s="178" t="s">
        <v>6</v>
      </c>
      <c r="F186" s="41" t="s">
        <v>6</v>
      </c>
      <c r="G186" s="40" t="s">
        <v>6</v>
      </c>
      <c r="H186" s="209">
        <f>SUM(H187:H195)</f>
        <v>131791.30000000002</v>
      </c>
      <c r="I186" s="209">
        <f>SUM(I187:I195)</f>
        <v>122568.11133</v>
      </c>
      <c r="J186" s="37">
        <f t="shared" si="71"/>
        <v>0.9300167107388726</v>
      </c>
      <c r="K186" s="215">
        <f t="shared" si="72"/>
        <v>-9223.1886700000177</v>
      </c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ht="37.5">
      <c r="A187" s="258" t="s">
        <v>228</v>
      </c>
      <c r="B187" s="31" t="s">
        <v>64</v>
      </c>
      <c r="C187" s="255" t="s">
        <v>14</v>
      </c>
      <c r="D187" s="261">
        <v>1.1000000000000001</v>
      </c>
      <c r="E187" s="313">
        <f>0.837+0.306</f>
        <v>1.143</v>
      </c>
      <c r="F187" s="263" t="s">
        <v>6</v>
      </c>
      <c r="G187" s="299">
        <f t="shared" ref="G187" si="77">IF(E187-D187=0,"-",E187-D187)</f>
        <v>4.2999999999999927E-2</v>
      </c>
      <c r="H187" s="224">
        <v>3392.6</v>
      </c>
      <c r="I187" s="222">
        <v>2590.3364099999999</v>
      </c>
      <c r="J187" s="229">
        <f t="shared" ref="J187" si="78">I187/H187</f>
        <v>0.76352544066497674</v>
      </c>
      <c r="K187" s="226">
        <f t="shared" ref="K187" si="79">I187-H187</f>
        <v>-802.26359000000002</v>
      </c>
    </row>
    <row r="188" spans="1:31">
      <c r="A188" s="260"/>
      <c r="B188" s="31" t="s">
        <v>233</v>
      </c>
      <c r="C188" s="255"/>
      <c r="D188" s="261"/>
      <c r="E188" s="313"/>
      <c r="F188" s="264"/>
      <c r="G188" s="299"/>
      <c r="H188" s="232"/>
      <c r="I188" s="286"/>
      <c r="J188" s="230"/>
      <c r="K188" s="227"/>
    </row>
    <row r="189" spans="1:31" ht="37.5">
      <c r="A189" s="259"/>
      <c r="B189" s="31" t="s">
        <v>235</v>
      </c>
      <c r="C189" s="89" t="s">
        <v>13</v>
      </c>
      <c r="D189" s="82">
        <v>128</v>
      </c>
      <c r="E189" s="18">
        <v>113</v>
      </c>
      <c r="F189" s="18" t="s">
        <v>6</v>
      </c>
      <c r="G189" s="18">
        <f>E189-D189</f>
        <v>-15</v>
      </c>
      <c r="H189" s="225"/>
      <c r="I189" s="223"/>
      <c r="J189" s="231"/>
      <c r="K189" s="228"/>
    </row>
    <row r="190" spans="1:31">
      <c r="A190" s="258" t="s">
        <v>229</v>
      </c>
      <c r="B190" s="31" t="s">
        <v>63</v>
      </c>
      <c r="C190" s="255" t="s">
        <v>13</v>
      </c>
      <c r="D190" s="262">
        <v>82</v>
      </c>
      <c r="E190" s="299">
        <v>90</v>
      </c>
      <c r="F190" s="299" t="s">
        <v>6</v>
      </c>
      <c r="G190" s="299">
        <f t="shared" ref="G190" si="80">IF(E190-D190=0,"-",E190-D190)</f>
        <v>8</v>
      </c>
      <c r="H190" s="253">
        <v>84741.1</v>
      </c>
      <c r="I190" s="256">
        <f>66962.44137+9657.98109+6351.71583</f>
        <v>82972.138290000003</v>
      </c>
      <c r="J190" s="257">
        <f t="shared" ref="J190" si="81">I190/H190</f>
        <v>0.97912510328518276</v>
      </c>
      <c r="K190" s="235">
        <f t="shared" ref="K190" si="82">I190-H190</f>
        <v>-1768.9617100000032</v>
      </c>
    </row>
    <row r="191" spans="1:31">
      <c r="A191" s="259"/>
      <c r="B191" s="31" t="s">
        <v>234</v>
      </c>
      <c r="C191" s="255"/>
      <c r="D191" s="262"/>
      <c r="E191" s="299"/>
      <c r="F191" s="299"/>
      <c r="G191" s="299"/>
      <c r="H191" s="253"/>
      <c r="I191" s="256"/>
      <c r="J191" s="257"/>
      <c r="K191" s="235"/>
    </row>
    <row r="192" spans="1:31" ht="56.25">
      <c r="A192" s="258" t="s">
        <v>230</v>
      </c>
      <c r="B192" s="31" t="s">
        <v>65</v>
      </c>
      <c r="C192" s="255" t="s">
        <v>14</v>
      </c>
      <c r="D192" s="261">
        <v>34.9</v>
      </c>
      <c r="E192" s="312">
        <v>34.308999999999997</v>
      </c>
      <c r="F192" s="299" t="s">
        <v>6</v>
      </c>
      <c r="G192" s="299">
        <f t="shared" ref="G192" si="83">IF(E192-D192=0,"-",E192-D192)</f>
        <v>-0.59100000000000108</v>
      </c>
      <c r="H192" s="253">
        <v>43657.599999999999</v>
      </c>
      <c r="I192" s="256">
        <f>563.39573+36442.2409</f>
        <v>37005.636629999994</v>
      </c>
      <c r="J192" s="257">
        <f t="shared" ref="J192" si="84">I192/H192</f>
        <v>0.84763332455288409</v>
      </c>
      <c r="K192" s="235">
        <f t="shared" ref="K192" si="85">I192-H192</f>
        <v>-6651.9633700000049</v>
      </c>
    </row>
    <row r="193" spans="1:31" ht="75">
      <c r="A193" s="259"/>
      <c r="B193" s="31" t="s">
        <v>237</v>
      </c>
      <c r="C193" s="255"/>
      <c r="D193" s="261"/>
      <c r="E193" s="312"/>
      <c r="F193" s="299"/>
      <c r="G193" s="299"/>
      <c r="H193" s="253"/>
      <c r="I193" s="256"/>
      <c r="J193" s="257"/>
      <c r="K193" s="235"/>
    </row>
    <row r="194" spans="1:31" ht="21.75" customHeight="1">
      <c r="A194" s="258" t="s">
        <v>273</v>
      </c>
      <c r="B194" s="31" t="s">
        <v>55</v>
      </c>
      <c r="C194" s="255" t="s">
        <v>10</v>
      </c>
      <c r="D194" s="262">
        <v>1</v>
      </c>
      <c r="E194" s="298">
        <v>0</v>
      </c>
      <c r="F194" s="299" t="s">
        <v>6</v>
      </c>
      <c r="G194" s="299">
        <f t="shared" ref="G194" si="86">IF(E194-D194=0,"-",E194-D194)</f>
        <v>-1</v>
      </c>
      <c r="H194" s="253">
        <v>0</v>
      </c>
      <c r="I194" s="253">
        <v>0</v>
      </c>
      <c r="J194" s="257" t="s">
        <v>6</v>
      </c>
      <c r="K194" s="235" t="s">
        <v>6</v>
      </c>
    </row>
    <row r="195" spans="1:31" ht="56.25">
      <c r="A195" s="259"/>
      <c r="B195" s="31" t="s">
        <v>236</v>
      </c>
      <c r="C195" s="255"/>
      <c r="D195" s="262"/>
      <c r="E195" s="298"/>
      <c r="F195" s="299"/>
      <c r="G195" s="299"/>
      <c r="H195" s="253"/>
      <c r="I195" s="253"/>
      <c r="J195" s="257"/>
      <c r="K195" s="235"/>
    </row>
    <row r="196" spans="1:31" s="7" customFormat="1" ht="75">
      <c r="A196" s="38" t="s">
        <v>27</v>
      </c>
      <c r="B196" s="31" t="s">
        <v>238</v>
      </c>
      <c r="C196" s="42" t="s">
        <v>6</v>
      </c>
      <c r="D196" s="42" t="s">
        <v>6</v>
      </c>
      <c r="E196" s="204" t="s">
        <v>6</v>
      </c>
      <c r="F196" s="41" t="s">
        <v>6</v>
      </c>
      <c r="G196" s="40" t="s">
        <v>6</v>
      </c>
      <c r="H196" s="209">
        <f>H197+H199</f>
        <v>110882.40000000001</v>
      </c>
      <c r="I196" s="210">
        <f>I197+I199</f>
        <v>110788.45372</v>
      </c>
      <c r="J196" s="37">
        <f t="shared" ref="J196:J197" si="87">I196/H196</f>
        <v>0.99915273947894345</v>
      </c>
      <c r="K196" s="215">
        <f t="shared" ref="K196:K197" si="88">I196-H196</f>
        <v>-93.946280000003753</v>
      </c>
    </row>
    <row r="197" spans="1:31" ht="36.75" customHeight="1">
      <c r="A197" s="254" t="s">
        <v>239</v>
      </c>
      <c r="B197" s="31" t="s">
        <v>241</v>
      </c>
      <c r="C197" s="255" t="s">
        <v>10</v>
      </c>
      <c r="D197" s="255">
        <v>236</v>
      </c>
      <c r="E197" s="255">
        <v>236</v>
      </c>
      <c r="F197" s="255" t="s">
        <v>6</v>
      </c>
      <c r="G197" s="255" t="str">
        <f t="shared" ref="G197" si="89">IF(E197-D197=0,"-",E197-D197)</f>
        <v>-</v>
      </c>
      <c r="H197" s="253">
        <v>110882.3</v>
      </c>
      <c r="I197" s="256">
        <f>110788.45372-0.123</f>
        <v>110788.33072</v>
      </c>
      <c r="J197" s="257">
        <f t="shared" si="87"/>
        <v>0.99915253128768067</v>
      </c>
      <c r="K197" s="235">
        <f t="shared" si="88"/>
        <v>-93.969280000004801</v>
      </c>
    </row>
    <row r="198" spans="1:31" ht="56.25">
      <c r="A198" s="254"/>
      <c r="B198" s="31" t="s">
        <v>242</v>
      </c>
      <c r="C198" s="255"/>
      <c r="D198" s="255"/>
      <c r="E198" s="255"/>
      <c r="F198" s="255"/>
      <c r="G198" s="255"/>
      <c r="H198" s="253"/>
      <c r="I198" s="256"/>
      <c r="J198" s="257"/>
      <c r="K198" s="235"/>
    </row>
    <row r="199" spans="1:31" ht="19.5" customHeight="1">
      <c r="A199" s="254" t="s">
        <v>240</v>
      </c>
      <c r="B199" s="31" t="s">
        <v>55</v>
      </c>
      <c r="C199" s="255" t="s">
        <v>10</v>
      </c>
      <c r="D199" s="255">
        <v>1</v>
      </c>
      <c r="E199" s="255">
        <v>1</v>
      </c>
      <c r="F199" s="255" t="s">
        <v>6</v>
      </c>
      <c r="G199" s="255" t="str">
        <f t="shared" ref="G199" si="90">IF(E199-D199=0,"-",E199-D199)</f>
        <v>-</v>
      </c>
      <c r="H199" s="253">
        <v>0.1</v>
      </c>
      <c r="I199" s="256">
        <v>0.123</v>
      </c>
      <c r="J199" s="257">
        <f t="shared" ref="J199" si="91">I199/H199</f>
        <v>1.23</v>
      </c>
      <c r="K199" s="235">
        <f t="shared" ref="K199" si="92">I199-H199</f>
        <v>2.2999999999999993E-2</v>
      </c>
    </row>
    <row r="200" spans="1:31" ht="56.25">
      <c r="A200" s="254"/>
      <c r="B200" s="31" t="s">
        <v>243</v>
      </c>
      <c r="C200" s="255"/>
      <c r="D200" s="255"/>
      <c r="E200" s="255"/>
      <c r="F200" s="255"/>
      <c r="G200" s="255"/>
      <c r="H200" s="253"/>
      <c r="I200" s="256"/>
      <c r="J200" s="257"/>
      <c r="K200" s="235"/>
    </row>
    <row r="201" spans="1:31" s="16" customFormat="1">
      <c r="A201" s="296" t="s">
        <v>44</v>
      </c>
      <c r="B201" s="296"/>
      <c r="C201" s="296"/>
      <c r="D201" s="296"/>
      <c r="E201" s="296"/>
      <c r="F201" s="296"/>
      <c r="G201" s="296"/>
      <c r="H201" s="296"/>
      <c r="I201" s="296"/>
      <c r="J201" s="296"/>
      <c r="K201" s="29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75">
      <c r="A202" s="38" t="s">
        <v>16</v>
      </c>
      <c r="B202" s="31" t="s">
        <v>246</v>
      </c>
      <c r="C202" s="89" t="s">
        <v>18</v>
      </c>
      <c r="D202" s="29">
        <v>81.2</v>
      </c>
      <c r="E202" s="29">
        <v>85</v>
      </c>
      <c r="F202" s="41">
        <f t="shared" ref="F202:F206" si="93">IF(E202/D202&gt;150%,1.5,E202/D202)</f>
        <v>1.0467980295566501</v>
      </c>
      <c r="G202" s="187">
        <f t="shared" ref="G202:G206" si="94">IF(E202-D202=0,"-",E202-D202)</f>
        <v>3.7999999999999972</v>
      </c>
      <c r="H202" s="5" t="s">
        <v>6</v>
      </c>
      <c r="I202" s="5" t="s">
        <v>6</v>
      </c>
      <c r="J202" s="19" t="s">
        <v>6</v>
      </c>
      <c r="K202" s="28" t="s">
        <v>6</v>
      </c>
    </row>
    <row r="203" spans="1:31" ht="93.75">
      <c r="A203" s="38" t="s">
        <v>17</v>
      </c>
      <c r="B203" s="31" t="s">
        <v>247</v>
      </c>
      <c r="C203" s="89" t="s">
        <v>18</v>
      </c>
      <c r="D203" s="29">
        <v>11</v>
      </c>
      <c r="E203" s="29">
        <v>13</v>
      </c>
      <c r="F203" s="41">
        <f t="shared" si="93"/>
        <v>1.1818181818181819</v>
      </c>
      <c r="G203" s="187">
        <f t="shared" si="94"/>
        <v>2</v>
      </c>
      <c r="H203" s="5" t="s">
        <v>6</v>
      </c>
      <c r="I203" s="5" t="s">
        <v>6</v>
      </c>
      <c r="J203" s="19" t="s">
        <v>6</v>
      </c>
      <c r="K203" s="28" t="s">
        <v>6</v>
      </c>
    </row>
    <row r="204" spans="1:31" ht="56.25">
      <c r="A204" s="38" t="s">
        <v>19</v>
      </c>
      <c r="B204" s="31" t="s">
        <v>248</v>
      </c>
      <c r="C204" s="89" t="s">
        <v>18</v>
      </c>
      <c r="D204" s="29">
        <v>100</v>
      </c>
      <c r="E204" s="29">
        <v>100</v>
      </c>
      <c r="F204" s="41">
        <f t="shared" si="93"/>
        <v>1</v>
      </c>
      <c r="G204" s="20" t="str">
        <f t="shared" si="94"/>
        <v>-</v>
      </c>
      <c r="H204" s="5" t="s">
        <v>6</v>
      </c>
      <c r="I204" s="5" t="s">
        <v>6</v>
      </c>
      <c r="J204" s="19" t="s">
        <v>6</v>
      </c>
      <c r="K204" s="28" t="s">
        <v>6</v>
      </c>
    </row>
    <row r="205" spans="1:31">
      <c r="A205" s="38" t="s">
        <v>20</v>
      </c>
      <c r="B205" s="31" t="s">
        <v>249</v>
      </c>
      <c r="C205" s="89" t="s">
        <v>18</v>
      </c>
      <c r="D205" s="29">
        <v>100</v>
      </c>
      <c r="E205" s="29">
        <v>100</v>
      </c>
      <c r="F205" s="41">
        <f t="shared" si="93"/>
        <v>1</v>
      </c>
      <c r="G205" s="20" t="str">
        <f t="shared" si="94"/>
        <v>-</v>
      </c>
      <c r="H205" s="5" t="s">
        <v>6</v>
      </c>
      <c r="I205" s="5" t="s">
        <v>6</v>
      </c>
      <c r="J205" s="19" t="s">
        <v>6</v>
      </c>
      <c r="K205" s="28" t="s">
        <v>6</v>
      </c>
    </row>
    <row r="206" spans="1:31">
      <c r="A206" s="38" t="s">
        <v>21</v>
      </c>
      <c r="B206" s="31" t="s">
        <v>250</v>
      </c>
      <c r="C206" s="89" t="s">
        <v>18</v>
      </c>
      <c r="D206" s="29">
        <v>100</v>
      </c>
      <c r="E206" s="29">
        <v>100</v>
      </c>
      <c r="F206" s="41">
        <f t="shared" si="93"/>
        <v>1</v>
      </c>
      <c r="G206" s="20" t="str">
        <f t="shared" si="94"/>
        <v>-</v>
      </c>
      <c r="H206" s="5" t="s">
        <v>6</v>
      </c>
      <c r="I206" s="5" t="s">
        <v>6</v>
      </c>
      <c r="J206" s="19" t="s">
        <v>6</v>
      </c>
      <c r="K206" s="28" t="s">
        <v>6</v>
      </c>
    </row>
    <row r="207" spans="1:31" s="116" customFormat="1" ht="20.25">
      <c r="A207" s="107"/>
      <c r="B207" s="108" t="s">
        <v>5</v>
      </c>
      <c r="C207" s="109" t="s">
        <v>6</v>
      </c>
      <c r="D207" s="109" t="s">
        <v>6</v>
      </c>
      <c r="E207" s="110" t="s">
        <v>6</v>
      </c>
      <c r="F207" s="111">
        <f>AVERAGE(F202:F206)</f>
        <v>1.0457232422749665</v>
      </c>
      <c r="G207" s="112" t="s">
        <v>6</v>
      </c>
      <c r="H207" s="195">
        <f>H11+H59+H94+H151+H160+H164+H170+H181+H196</f>
        <v>7879182.8999999994</v>
      </c>
      <c r="I207" s="195">
        <f>I11+I59+I94+I151+I160+I164+I170+I181+I196</f>
        <v>7796191.2474000016</v>
      </c>
      <c r="J207" s="114">
        <f>I207/H207</f>
        <v>0.98946697219073343</v>
      </c>
      <c r="K207" s="113">
        <f>I207-H207</f>
        <v>-82991.652599997818</v>
      </c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</row>
    <row r="208" spans="1:31" s="116" customFormat="1" ht="20.25">
      <c r="A208" s="107"/>
      <c r="B208" s="293" t="s">
        <v>244</v>
      </c>
      <c r="C208" s="293"/>
      <c r="D208" s="293"/>
      <c r="E208" s="293"/>
      <c r="F208" s="293"/>
      <c r="G208" s="293"/>
      <c r="H208" s="195">
        <v>7872778.1356699998</v>
      </c>
      <c r="I208" s="195">
        <f>I207</f>
        <v>7796191.2474000016</v>
      </c>
      <c r="J208" s="114">
        <f>I208/H208</f>
        <v>0.99027193616405906</v>
      </c>
      <c r="K208" s="113">
        <f>I208-H208</f>
        <v>-76586.888269998133</v>
      </c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</row>
    <row r="209" spans="1:31" s="116" customFormat="1" ht="20.25">
      <c r="A209" s="107"/>
      <c r="B209" s="294" t="s">
        <v>245</v>
      </c>
      <c r="C209" s="294"/>
      <c r="D209" s="294"/>
      <c r="E209" s="117">
        <f>F207/J208</f>
        <v>1.0559960391543608</v>
      </c>
      <c r="F209" s="295" t="str">
        <f>IF(E209&gt;=80%,"Программа реализуется эффективно","Программа реализуется неэффективно")</f>
        <v>Программа реализуется эффективно</v>
      </c>
      <c r="G209" s="295"/>
      <c r="H209" s="295"/>
      <c r="I209" s="295"/>
      <c r="J209" s="295"/>
      <c r="K209" s="29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</row>
  </sheetData>
  <sheetProtection formatCells="0" formatColumns="0" formatRows="0" insertColumns="0" insertRows="0" deleteRows="0" selectLockedCells="1" sort="0" autoFilter="0" pivotTables="0" selectUnlockedCells="1"/>
  <mergeCells count="576">
    <mergeCell ref="E128:E129"/>
    <mergeCell ref="D128:D129"/>
    <mergeCell ref="C128:C129"/>
    <mergeCell ref="G128:G129"/>
    <mergeCell ref="F128:F129"/>
    <mergeCell ref="A128:A129"/>
    <mergeCell ref="C139:C140"/>
    <mergeCell ref="D139:D140"/>
    <mergeCell ref="E139:E140"/>
    <mergeCell ref="F139:F140"/>
    <mergeCell ref="G139:G140"/>
    <mergeCell ref="G137:G138"/>
    <mergeCell ref="E137:E138"/>
    <mergeCell ref="H137:H138"/>
    <mergeCell ref="I137:I138"/>
    <mergeCell ref="J137:J138"/>
    <mergeCell ref="K137:K138"/>
    <mergeCell ref="A130:A132"/>
    <mergeCell ref="A133:A136"/>
    <mergeCell ref="A137:A138"/>
    <mergeCell ref="A139:A140"/>
    <mergeCell ref="K145:K146"/>
    <mergeCell ref="A143:A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A145:A146"/>
    <mergeCell ref="C145:C146"/>
    <mergeCell ref="D145:D146"/>
    <mergeCell ref="E145:E146"/>
    <mergeCell ref="F145:F146"/>
    <mergeCell ref="K149:K150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A149:A150"/>
    <mergeCell ref="C149:C150"/>
    <mergeCell ref="D149:D150"/>
    <mergeCell ref="E149:E150"/>
    <mergeCell ref="F149:F150"/>
    <mergeCell ref="K141:K142"/>
    <mergeCell ref="J141:J142"/>
    <mergeCell ref="I141:I142"/>
    <mergeCell ref="K124:K125"/>
    <mergeCell ref="F141:F142"/>
    <mergeCell ref="E141:E142"/>
    <mergeCell ref="D141:D142"/>
    <mergeCell ref="C141:C142"/>
    <mergeCell ref="A141:A142"/>
    <mergeCell ref="H133:H136"/>
    <mergeCell ref="I133:I136"/>
    <mergeCell ref="J133:J136"/>
    <mergeCell ref="K133:K136"/>
    <mergeCell ref="H130:H132"/>
    <mergeCell ref="I130:I132"/>
    <mergeCell ref="J130:J132"/>
    <mergeCell ref="K130:K132"/>
    <mergeCell ref="H128:H129"/>
    <mergeCell ref="H139:H140"/>
    <mergeCell ref="I139:I140"/>
    <mergeCell ref="J139:J140"/>
    <mergeCell ref="K139:K140"/>
    <mergeCell ref="C137:C138"/>
    <mergeCell ref="D137:D138"/>
    <mergeCell ref="A116:A117"/>
    <mergeCell ref="A110:A113"/>
    <mergeCell ref="F124:F125"/>
    <mergeCell ref="G124:G125"/>
    <mergeCell ref="H124:H125"/>
    <mergeCell ref="F126:F127"/>
    <mergeCell ref="A126:A127"/>
    <mergeCell ref="A184:A185"/>
    <mergeCell ref="A169:K169"/>
    <mergeCell ref="I175:I176"/>
    <mergeCell ref="F152:F153"/>
    <mergeCell ref="A122:A123"/>
    <mergeCell ref="C122:C123"/>
    <mergeCell ref="K128:K129"/>
    <mergeCell ref="D122:D123"/>
    <mergeCell ref="E122:E123"/>
    <mergeCell ref="G120:G121"/>
    <mergeCell ref="A124:A125"/>
    <mergeCell ref="E124:E125"/>
    <mergeCell ref="J122:J123"/>
    <mergeCell ref="K122:K123"/>
    <mergeCell ref="J120:J121"/>
    <mergeCell ref="K120:K121"/>
    <mergeCell ref="I128:I129"/>
    <mergeCell ref="C187:C188"/>
    <mergeCell ref="D187:D188"/>
    <mergeCell ref="E187:E188"/>
    <mergeCell ref="F187:F188"/>
    <mergeCell ref="G187:G188"/>
    <mergeCell ref="J184:J185"/>
    <mergeCell ref="K184:K18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K187:K189"/>
    <mergeCell ref="J187:J189"/>
    <mergeCell ref="I187:I189"/>
    <mergeCell ref="H187:H189"/>
    <mergeCell ref="I184:I185"/>
    <mergeCell ref="K190:K191"/>
    <mergeCell ref="C197:C198"/>
    <mergeCell ref="D197:D198"/>
    <mergeCell ref="E197:E198"/>
    <mergeCell ref="F197:F198"/>
    <mergeCell ref="G197:G198"/>
    <mergeCell ref="H197:H198"/>
    <mergeCell ref="I197:I198"/>
    <mergeCell ref="A197:A198"/>
    <mergeCell ref="J197:J198"/>
    <mergeCell ref="K197:K198"/>
    <mergeCell ref="K192:K193"/>
    <mergeCell ref="C190:C191"/>
    <mergeCell ref="D190:D191"/>
    <mergeCell ref="E190:E191"/>
    <mergeCell ref="F190:F191"/>
    <mergeCell ref="G190:G191"/>
    <mergeCell ref="J192:J193"/>
    <mergeCell ref="I194:I195"/>
    <mergeCell ref="J194:J195"/>
    <mergeCell ref="K194:K195"/>
    <mergeCell ref="I190:I191"/>
    <mergeCell ref="J190:J191"/>
    <mergeCell ref="E192:E193"/>
    <mergeCell ref="A118:A119"/>
    <mergeCell ref="E118:E119"/>
    <mergeCell ref="D118:D119"/>
    <mergeCell ref="C118:C119"/>
    <mergeCell ref="E152:E153"/>
    <mergeCell ref="D152:D153"/>
    <mergeCell ref="H141:H142"/>
    <mergeCell ref="G141:G142"/>
    <mergeCell ref="K112:K113"/>
    <mergeCell ref="A114:A115"/>
    <mergeCell ref="C112:C113"/>
    <mergeCell ref="D112:D113"/>
    <mergeCell ref="E112:E113"/>
    <mergeCell ref="A120:A121"/>
    <mergeCell ref="C120:C121"/>
    <mergeCell ref="D120:D121"/>
    <mergeCell ref="E120:E121"/>
    <mergeCell ref="F120:F121"/>
    <mergeCell ref="F122:F123"/>
    <mergeCell ref="H114:H115"/>
    <mergeCell ref="K114:K115"/>
    <mergeCell ref="J114:J115"/>
    <mergeCell ref="I114:I115"/>
    <mergeCell ref="G122:G123"/>
    <mergeCell ref="F192:F193"/>
    <mergeCell ref="G192:G193"/>
    <mergeCell ref="J152:J153"/>
    <mergeCell ref="I152:I153"/>
    <mergeCell ref="H152:H153"/>
    <mergeCell ref="G152:G153"/>
    <mergeCell ref="H120:H121"/>
    <mergeCell ref="I120:I121"/>
    <mergeCell ref="H122:H123"/>
    <mergeCell ref="I122:I123"/>
    <mergeCell ref="J128:J129"/>
    <mergeCell ref="I124:I125"/>
    <mergeCell ref="J124:J125"/>
    <mergeCell ref="G149:G150"/>
    <mergeCell ref="H149:H150"/>
    <mergeCell ref="I149:I150"/>
    <mergeCell ref="J149:J150"/>
    <mergeCell ref="G145:G146"/>
    <mergeCell ref="H145:H146"/>
    <mergeCell ref="I145:I146"/>
    <mergeCell ref="J145:J146"/>
    <mergeCell ref="F137:F138"/>
    <mergeCell ref="I158:I159"/>
    <mergeCell ref="I156:I157"/>
    <mergeCell ref="K110:K111"/>
    <mergeCell ref="K108:K109"/>
    <mergeCell ref="J108:J109"/>
    <mergeCell ref="G106:G107"/>
    <mergeCell ref="F106:F107"/>
    <mergeCell ref="E106:E107"/>
    <mergeCell ref="D106:D107"/>
    <mergeCell ref="A182:A183"/>
    <mergeCell ref="D184:D185"/>
    <mergeCell ref="C182:C183"/>
    <mergeCell ref="C184:C185"/>
    <mergeCell ref="H112:H113"/>
    <mergeCell ref="I112:I113"/>
    <mergeCell ref="C124:C125"/>
    <mergeCell ref="D124:D125"/>
    <mergeCell ref="G118:G119"/>
    <mergeCell ref="C152:C153"/>
    <mergeCell ref="A152:A153"/>
    <mergeCell ref="K152:K153"/>
    <mergeCell ref="E184:E185"/>
    <mergeCell ref="F184:F185"/>
    <mergeCell ref="G184:G185"/>
    <mergeCell ref="I110:I111"/>
    <mergeCell ref="J110:J111"/>
    <mergeCell ref="J112:J113"/>
    <mergeCell ref="C104:C105"/>
    <mergeCell ref="A71:A75"/>
    <mergeCell ref="A76:A80"/>
    <mergeCell ref="A81:A85"/>
    <mergeCell ref="C76:C77"/>
    <mergeCell ref="D76:D77"/>
    <mergeCell ref="E76:E77"/>
    <mergeCell ref="F76:F77"/>
    <mergeCell ref="G76:G77"/>
    <mergeCell ref="C81:C82"/>
    <mergeCell ref="D81:D82"/>
    <mergeCell ref="D100:D101"/>
    <mergeCell ref="E100:E101"/>
    <mergeCell ref="F100:F101"/>
    <mergeCell ref="G100:G101"/>
    <mergeCell ref="H100:H101"/>
    <mergeCell ref="J100:J101"/>
    <mergeCell ref="I104:I105"/>
    <mergeCell ref="I100:I101"/>
    <mergeCell ref="C98:C99"/>
    <mergeCell ref="D98:D99"/>
    <mergeCell ref="E98:E99"/>
    <mergeCell ref="F98:F99"/>
    <mergeCell ref="G98:G99"/>
    <mergeCell ref="J104:J105"/>
    <mergeCell ref="D104:D105"/>
    <mergeCell ref="E104:E105"/>
    <mergeCell ref="F104:F105"/>
    <mergeCell ref="G104:G105"/>
    <mergeCell ref="A10:K10"/>
    <mergeCell ref="I15:I16"/>
    <mergeCell ref="H15:H16"/>
    <mergeCell ref="G15:G16"/>
    <mergeCell ref="F15:F16"/>
    <mergeCell ref="E15:E16"/>
    <mergeCell ref="D15:D16"/>
    <mergeCell ref="C15:C16"/>
    <mergeCell ref="I12:I14"/>
    <mergeCell ref="H12:H14"/>
    <mergeCell ref="J12:J14"/>
    <mergeCell ref="K12:K14"/>
    <mergeCell ref="J15:J16"/>
    <mergeCell ref="K15:K16"/>
    <mergeCell ref="A35:A36"/>
    <mergeCell ref="C35:C36"/>
    <mergeCell ref="D35:D36"/>
    <mergeCell ref="E35:E36"/>
    <mergeCell ref="A2:K2"/>
    <mergeCell ref="A3:K3"/>
    <mergeCell ref="A5:K5"/>
    <mergeCell ref="A4:K4"/>
    <mergeCell ref="A12:A14"/>
    <mergeCell ref="F96:F97"/>
    <mergeCell ref="E96:E97"/>
    <mergeCell ref="D96:D97"/>
    <mergeCell ref="C96:C97"/>
    <mergeCell ref="G96:G97"/>
    <mergeCell ref="G35:G36"/>
    <mergeCell ref="A93:K93"/>
    <mergeCell ref="C91:C92"/>
    <mergeCell ref="D91:D92"/>
    <mergeCell ref="A6:K6"/>
    <mergeCell ref="K96:K97"/>
    <mergeCell ref="J96:J97"/>
    <mergeCell ref="I96:I97"/>
    <mergeCell ref="H96:H97"/>
    <mergeCell ref="A7:K7"/>
    <mergeCell ref="A91:A92"/>
    <mergeCell ref="E91:E92"/>
    <mergeCell ref="F91:F92"/>
    <mergeCell ref="G91:G92"/>
    <mergeCell ref="B208:G208"/>
    <mergeCell ref="B209:D209"/>
    <mergeCell ref="F209:K209"/>
    <mergeCell ref="A201:K201"/>
    <mergeCell ref="A172:A174"/>
    <mergeCell ref="A175:A176"/>
    <mergeCell ref="H175:H176"/>
    <mergeCell ref="J175:J176"/>
    <mergeCell ref="K175:K176"/>
    <mergeCell ref="A180:K180"/>
    <mergeCell ref="A177:A179"/>
    <mergeCell ref="H177:H179"/>
    <mergeCell ref="I177:I179"/>
    <mergeCell ref="J177:J179"/>
    <mergeCell ref="K177:K179"/>
    <mergeCell ref="C194:C195"/>
    <mergeCell ref="D194:D195"/>
    <mergeCell ref="E194:E195"/>
    <mergeCell ref="F194:F195"/>
    <mergeCell ref="G194:G195"/>
    <mergeCell ref="H192:H193"/>
    <mergeCell ref="I192:I193"/>
    <mergeCell ref="H194:H195"/>
    <mergeCell ref="H184:H185"/>
    <mergeCell ref="A33:A34"/>
    <mergeCell ref="C33:C34"/>
    <mergeCell ref="D33:D34"/>
    <mergeCell ref="E33:E34"/>
    <mergeCell ref="F33:F34"/>
    <mergeCell ref="C71:C72"/>
    <mergeCell ref="D71:D72"/>
    <mergeCell ref="E71:E72"/>
    <mergeCell ref="F71:F72"/>
    <mergeCell ref="D66:D67"/>
    <mergeCell ref="C66:C67"/>
    <mergeCell ref="F66:F67"/>
    <mergeCell ref="E66:E67"/>
    <mergeCell ref="A39:A42"/>
    <mergeCell ref="A37:A38"/>
    <mergeCell ref="K100:K101"/>
    <mergeCell ref="H102:H103"/>
    <mergeCell ref="I102:I103"/>
    <mergeCell ref="H91:H92"/>
    <mergeCell ref="I91:I92"/>
    <mergeCell ref="J91:J92"/>
    <mergeCell ref="J76:J80"/>
    <mergeCell ref="K76:K80"/>
    <mergeCell ref="K71:K75"/>
    <mergeCell ref="J71:J75"/>
    <mergeCell ref="I71:I75"/>
    <mergeCell ref="H71:H75"/>
    <mergeCell ref="J81:J85"/>
    <mergeCell ref="K81:K85"/>
    <mergeCell ref="H81:H85"/>
    <mergeCell ref="I81:I85"/>
    <mergeCell ref="H76:H80"/>
    <mergeCell ref="I76:I80"/>
    <mergeCell ref="J102:J103"/>
    <mergeCell ref="E81:E82"/>
    <mergeCell ref="F81:F82"/>
    <mergeCell ref="G81:G82"/>
    <mergeCell ref="G33:G34"/>
    <mergeCell ref="H33:H34"/>
    <mergeCell ref="K37:K38"/>
    <mergeCell ref="J37:J38"/>
    <mergeCell ref="I37:I38"/>
    <mergeCell ref="H37:H38"/>
    <mergeCell ref="I33:I34"/>
    <mergeCell ref="J33:J34"/>
    <mergeCell ref="K33:K34"/>
    <mergeCell ref="J35:J36"/>
    <mergeCell ref="K35:K36"/>
    <mergeCell ref="H35:H36"/>
    <mergeCell ref="I35:I36"/>
    <mergeCell ref="G71:G72"/>
    <mergeCell ref="F35:F36"/>
    <mergeCell ref="I43:I45"/>
    <mergeCell ref="H43:H45"/>
    <mergeCell ref="K43:K45"/>
    <mergeCell ref="J43:J45"/>
    <mergeCell ref="K46:K48"/>
    <mergeCell ref="J46:J48"/>
    <mergeCell ref="K19:K20"/>
    <mergeCell ref="J19:J20"/>
    <mergeCell ref="I19:I20"/>
    <mergeCell ref="H19:H20"/>
    <mergeCell ref="G19:G20"/>
    <mergeCell ref="F19:F20"/>
    <mergeCell ref="E19:E20"/>
    <mergeCell ref="I26:I29"/>
    <mergeCell ref="J26:J29"/>
    <mergeCell ref="K26:K29"/>
    <mergeCell ref="H21:H22"/>
    <mergeCell ref="I21:I22"/>
    <mergeCell ref="J21:J22"/>
    <mergeCell ref="D19:D20"/>
    <mergeCell ref="C19:C20"/>
    <mergeCell ref="K30:K32"/>
    <mergeCell ref="J30:J32"/>
    <mergeCell ref="I30:I32"/>
    <mergeCell ref="H30:H32"/>
    <mergeCell ref="A30:A32"/>
    <mergeCell ref="K21:K22"/>
    <mergeCell ref="C23:C24"/>
    <mergeCell ref="D23:D24"/>
    <mergeCell ref="E23:E24"/>
    <mergeCell ref="F23:F24"/>
    <mergeCell ref="G23:G24"/>
    <mergeCell ref="K23:K25"/>
    <mergeCell ref="J23:J25"/>
    <mergeCell ref="I23:I25"/>
    <mergeCell ref="H23:H25"/>
    <mergeCell ref="C21:C22"/>
    <mergeCell ref="D21:D22"/>
    <mergeCell ref="E21:E22"/>
    <mergeCell ref="F21:F22"/>
    <mergeCell ref="G21:G22"/>
    <mergeCell ref="A26:A29"/>
    <mergeCell ref="H26:H29"/>
    <mergeCell ref="I46:I48"/>
    <mergeCell ref="H46:H48"/>
    <mergeCell ref="K39:K42"/>
    <mergeCell ref="J39:J42"/>
    <mergeCell ref="I39:I42"/>
    <mergeCell ref="H39:H42"/>
    <mergeCell ref="G66:G67"/>
    <mergeCell ref="I59:I65"/>
    <mergeCell ref="H59:H65"/>
    <mergeCell ref="K59:K65"/>
    <mergeCell ref="J59:J65"/>
    <mergeCell ref="I49:I52"/>
    <mergeCell ref="H49:H52"/>
    <mergeCell ref="K53:K57"/>
    <mergeCell ref="J53:J57"/>
    <mergeCell ref="I53:I57"/>
    <mergeCell ref="K66:K70"/>
    <mergeCell ref="J66:J70"/>
    <mergeCell ref="I66:I70"/>
    <mergeCell ref="H66:H70"/>
    <mergeCell ref="H53:H57"/>
    <mergeCell ref="K49:K52"/>
    <mergeCell ref="J49:J52"/>
    <mergeCell ref="A86:A90"/>
    <mergeCell ref="H86:H90"/>
    <mergeCell ref="I86:I90"/>
    <mergeCell ref="J86:J90"/>
    <mergeCell ref="K86:K90"/>
    <mergeCell ref="C106:C107"/>
    <mergeCell ref="K106:K107"/>
    <mergeCell ref="J106:J107"/>
    <mergeCell ref="I106:I107"/>
    <mergeCell ref="H106:H107"/>
    <mergeCell ref="K91:K92"/>
    <mergeCell ref="K104:K105"/>
    <mergeCell ref="H104:H105"/>
    <mergeCell ref="K102:K103"/>
    <mergeCell ref="C102:C103"/>
    <mergeCell ref="D102:D103"/>
    <mergeCell ref="E102:E103"/>
    <mergeCell ref="F102:F103"/>
    <mergeCell ref="G102:G103"/>
    <mergeCell ref="H98:H99"/>
    <mergeCell ref="I98:I99"/>
    <mergeCell ref="J98:J99"/>
    <mergeCell ref="K98:K99"/>
    <mergeCell ref="C100:C101"/>
    <mergeCell ref="D126:D127"/>
    <mergeCell ref="C126:C127"/>
    <mergeCell ref="H116:H117"/>
    <mergeCell ref="G108:G109"/>
    <mergeCell ref="F108:F109"/>
    <mergeCell ref="E108:E109"/>
    <mergeCell ref="D108:D109"/>
    <mergeCell ref="C108:C109"/>
    <mergeCell ref="G114:G115"/>
    <mergeCell ref="F114:F115"/>
    <mergeCell ref="E114:E115"/>
    <mergeCell ref="D114:D115"/>
    <mergeCell ref="C114:C115"/>
    <mergeCell ref="F112:F113"/>
    <mergeCell ref="G112:G113"/>
    <mergeCell ref="H110:H111"/>
    <mergeCell ref="F118:F119"/>
    <mergeCell ref="I116:I117"/>
    <mergeCell ref="J116:J117"/>
    <mergeCell ref="K116:K117"/>
    <mergeCell ref="K126:K127"/>
    <mergeCell ref="J126:J127"/>
    <mergeCell ref="I126:I127"/>
    <mergeCell ref="H126:H127"/>
    <mergeCell ref="G126:G127"/>
    <mergeCell ref="A154:A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C116:C117"/>
    <mergeCell ref="D116:D117"/>
    <mergeCell ref="E116:E117"/>
    <mergeCell ref="F116:F117"/>
    <mergeCell ref="G116:G117"/>
    <mergeCell ref="E126:E127"/>
    <mergeCell ref="H158:H159"/>
    <mergeCell ref="H156:H157"/>
    <mergeCell ref="A158:A159"/>
    <mergeCell ref="A156:A157"/>
    <mergeCell ref="C156:C157"/>
    <mergeCell ref="D156:D157"/>
    <mergeCell ref="C158:C159"/>
    <mergeCell ref="E156:E157"/>
    <mergeCell ref="D158:D159"/>
    <mergeCell ref="E158:E159"/>
    <mergeCell ref="D160:D161"/>
    <mergeCell ref="C160:C161"/>
    <mergeCell ref="J165:J166"/>
    <mergeCell ref="K165:K166"/>
    <mergeCell ref="A167:A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A165:A166"/>
    <mergeCell ref="C165:C166"/>
    <mergeCell ref="D165:D166"/>
    <mergeCell ref="E165:E166"/>
    <mergeCell ref="F165:F166"/>
    <mergeCell ref="G165:G166"/>
    <mergeCell ref="H165:H166"/>
    <mergeCell ref="I160:I163"/>
    <mergeCell ref="K156:K157"/>
    <mergeCell ref="J158:J159"/>
    <mergeCell ref="J156:J157"/>
    <mergeCell ref="A199:A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A190:A191"/>
    <mergeCell ref="A192:A193"/>
    <mergeCell ref="A194:A195"/>
    <mergeCell ref="A187:A189"/>
    <mergeCell ref="H190:H191"/>
    <mergeCell ref="C192:C193"/>
    <mergeCell ref="D192:D193"/>
    <mergeCell ref="A160:A161"/>
    <mergeCell ref="I165:I166"/>
    <mergeCell ref="G160:G161"/>
    <mergeCell ref="F160:F161"/>
    <mergeCell ref="E160:E161"/>
    <mergeCell ref="I108:I109"/>
    <mergeCell ref="H108:H109"/>
    <mergeCell ref="K160:K163"/>
    <mergeCell ref="J160:J163"/>
    <mergeCell ref="H160:H163"/>
    <mergeCell ref="C17:C18"/>
    <mergeCell ref="K199:K200"/>
    <mergeCell ref="K17:K18"/>
    <mergeCell ref="J17:J18"/>
    <mergeCell ref="I17:I18"/>
    <mergeCell ref="H17:H18"/>
    <mergeCell ref="G17:G18"/>
    <mergeCell ref="F17:F18"/>
    <mergeCell ref="E17:E18"/>
    <mergeCell ref="D17:D18"/>
    <mergeCell ref="H171:H174"/>
    <mergeCell ref="K171:K174"/>
    <mergeCell ref="J171:J174"/>
    <mergeCell ref="I171:I174"/>
    <mergeCell ref="G158:G159"/>
    <mergeCell ref="F158:F159"/>
    <mergeCell ref="F156:F157"/>
    <mergeCell ref="G156:G157"/>
    <mergeCell ref="K158:K159"/>
  </mergeCells>
  <hyperlinks>
    <hyperlink ref="B18" r:id="rId1" display="http://mobileonline.garant.ru/document/redirect/72945590/1000"/>
  </hyperlinks>
  <printOptions horizontalCentered="1"/>
  <pageMargins left="0.11811023622047245" right="0.11811023622047245" top="0.15748031496062992" bottom="0.15748031496062992" header="0.11811023622047245" footer="0.11811023622047245"/>
  <pageSetup paperSize="9" scale="53" fitToHeight="0" orientation="landscape" r:id="rId2"/>
  <rowBreaks count="11" manualBreakCount="11">
    <brk id="20" max="10" man="1"/>
    <brk id="38" max="10" man="1"/>
    <brk id="58" max="10" man="1"/>
    <brk id="85" max="10" man="1"/>
    <brk id="105" max="10" man="1"/>
    <brk id="117" max="10" man="1"/>
    <brk id="129" max="10" man="1"/>
    <brk id="148" max="10" man="1"/>
    <brk id="166" max="10" man="1"/>
    <brk id="179" max="10" man="1"/>
    <brk id="20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78"/>
  <sheetViews>
    <sheetView tabSelected="1" view="pageBreakPreview" topLeftCell="A217" zoomScale="85" zoomScaleNormal="85" zoomScaleSheetLayoutView="85" workbookViewId="0">
      <selection activeCell="A2" sqref="A2:A3"/>
    </sheetView>
  </sheetViews>
  <sheetFormatPr defaultColWidth="9.140625" defaultRowHeight="18.75" outlineLevelRow="1" outlineLevelCol="1"/>
  <cols>
    <col min="1" max="1" width="9.7109375" style="14" customWidth="1"/>
    <col min="2" max="2" width="70.7109375" style="6" customWidth="1"/>
    <col min="3" max="3" width="21.85546875" style="6" customWidth="1"/>
    <col min="4" max="4" width="30.42578125" style="10" customWidth="1"/>
    <col min="5" max="5" width="18.140625" style="11" bestFit="1" customWidth="1"/>
    <col min="6" max="6" width="15" style="11" customWidth="1" outlineLevel="1"/>
    <col min="7" max="7" width="17.5703125" style="11" customWidth="1"/>
    <col min="8" max="8" width="16.5703125" style="6" customWidth="1"/>
    <col min="9" max="16384" width="9.140625" style="6"/>
  </cols>
  <sheetData>
    <row r="1" spans="1:7" ht="16.5" customHeight="1">
      <c r="A1" s="362" t="s">
        <v>36</v>
      </c>
      <c r="B1" s="362"/>
      <c r="C1" s="362"/>
      <c r="D1" s="362"/>
      <c r="E1" s="362"/>
      <c r="F1" s="362"/>
      <c r="G1" s="362"/>
    </row>
    <row r="2" spans="1:7" s="7" customFormat="1" ht="18.75" customHeight="1">
      <c r="A2" s="370" t="s">
        <v>2</v>
      </c>
      <c r="B2" s="371" t="s">
        <v>45</v>
      </c>
      <c r="C2" s="370" t="s">
        <v>46</v>
      </c>
      <c r="D2" s="370" t="s">
        <v>8</v>
      </c>
      <c r="E2" s="372" t="s">
        <v>11</v>
      </c>
      <c r="F2" s="372"/>
      <c r="G2" s="372"/>
    </row>
    <row r="3" spans="1:7" s="7" customFormat="1" ht="31.5" customHeight="1">
      <c r="A3" s="370"/>
      <c r="B3" s="371"/>
      <c r="C3" s="370"/>
      <c r="D3" s="370"/>
      <c r="E3" s="97" t="s">
        <v>9</v>
      </c>
      <c r="F3" s="171" t="s">
        <v>251</v>
      </c>
      <c r="G3" s="212" t="s">
        <v>252</v>
      </c>
    </row>
    <row r="4" spans="1:7" s="7" customFormat="1" ht="18.75" customHeight="1">
      <c r="A4" s="196" t="s">
        <v>47</v>
      </c>
      <c r="B4" s="196"/>
      <c r="C4" s="196"/>
      <c r="D4" s="196"/>
      <c r="E4" s="196"/>
      <c r="F4" s="196"/>
      <c r="G4" s="196"/>
    </row>
    <row r="5" spans="1:7">
      <c r="A5" s="321" t="s">
        <v>16</v>
      </c>
      <c r="B5" s="318" t="s">
        <v>84</v>
      </c>
      <c r="C5" s="318"/>
      <c r="D5" s="118" t="s">
        <v>30</v>
      </c>
      <c r="E5" s="218">
        <f>G5</f>
        <v>2758488.9045100007</v>
      </c>
      <c r="F5" s="219">
        <f>'Отчет_ТАБЛ 1'!H11</f>
        <v>2766092.0999999992</v>
      </c>
      <c r="G5" s="219">
        <f>'Отчет_ТАБЛ 1'!I11</f>
        <v>2758488.9045100007</v>
      </c>
    </row>
    <row r="6" spans="1:7">
      <c r="A6" s="322"/>
      <c r="B6" s="319"/>
      <c r="C6" s="319"/>
      <c r="D6" s="119" t="s">
        <v>28</v>
      </c>
      <c r="E6" s="218">
        <f t="shared" ref="E6:E69" si="0">G6</f>
        <v>1085619.4050399999</v>
      </c>
      <c r="F6" s="219">
        <f>F10+F13+F16</f>
        <v>1089129.3</v>
      </c>
      <c r="G6" s="219">
        <f>G10+G13+G16</f>
        <v>1085619.4050399999</v>
      </c>
    </row>
    <row r="7" spans="1:7">
      <c r="A7" s="322"/>
      <c r="B7" s="319"/>
      <c r="C7" s="319"/>
      <c r="D7" s="119" t="s">
        <v>29</v>
      </c>
      <c r="E7" s="218">
        <f t="shared" si="0"/>
        <v>1672869.52397</v>
      </c>
      <c r="F7" s="219">
        <f>F11+F14+F17</f>
        <v>1676962.8</v>
      </c>
      <c r="G7" s="219">
        <f>G11+G14+G17</f>
        <v>1672869.52397</v>
      </c>
    </row>
    <row r="8" spans="1:7">
      <c r="A8" s="322"/>
      <c r="B8" s="319"/>
      <c r="C8" s="319"/>
      <c r="D8" s="119" t="s">
        <v>31</v>
      </c>
      <c r="E8" s="218">
        <f t="shared" si="0"/>
        <v>0</v>
      </c>
      <c r="F8" s="219">
        <f>F18</f>
        <v>0</v>
      </c>
      <c r="G8" s="219">
        <f>G18</f>
        <v>0</v>
      </c>
    </row>
    <row r="9" spans="1:7">
      <c r="A9" s="322"/>
      <c r="B9" s="319"/>
      <c r="C9" s="254" t="s">
        <v>254</v>
      </c>
      <c r="D9" s="118" t="s">
        <v>30</v>
      </c>
      <c r="E9" s="218">
        <f t="shared" si="0"/>
        <v>2755431.0237999996</v>
      </c>
      <c r="F9" s="220">
        <f>F10+F11</f>
        <v>2759622.9000000004</v>
      </c>
      <c r="G9" s="220">
        <f>G10+G11</f>
        <v>2755431.0237999996</v>
      </c>
    </row>
    <row r="10" spans="1:7">
      <c r="A10" s="322"/>
      <c r="B10" s="319"/>
      <c r="C10" s="254"/>
      <c r="D10" s="119" t="s">
        <v>28</v>
      </c>
      <c r="E10" s="218">
        <f t="shared" si="0"/>
        <v>1085376.4185799998</v>
      </c>
      <c r="F10" s="220">
        <v>1088263.6000000001</v>
      </c>
      <c r="G10" s="220">
        <f>372.90074+1020385.96621+64617.55163</f>
        <v>1085376.4185799998</v>
      </c>
    </row>
    <row r="11" spans="1:7">
      <c r="A11" s="322"/>
      <c r="B11" s="319"/>
      <c r="C11" s="254"/>
      <c r="D11" s="119" t="s">
        <v>29</v>
      </c>
      <c r="E11" s="218">
        <f t="shared" si="0"/>
        <v>1670054.60522</v>
      </c>
      <c r="F11" s="220">
        <v>1671359.3</v>
      </c>
      <c r="G11" s="220">
        <f>324.062+13706.14708+39.89992+11702.625+224.70952+1503065.69048+33800.601+91500+865+1843.3+3950+4200+3589.22186+1243.34836</f>
        <v>1670054.60522</v>
      </c>
    </row>
    <row r="12" spans="1:7">
      <c r="A12" s="322"/>
      <c r="B12" s="319"/>
      <c r="C12" s="334" t="s">
        <v>70</v>
      </c>
      <c r="D12" s="119" t="s">
        <v>253</v>
      </c>
      <c r="E12" s="218">
        <f t="shared" si="0"/>
        <v>3057.9052099999999</v>
      </c>
      <c r="F12" s="220">
        <f>F13+F14</f>
        <v>6469.2</v>
      </c>
      <c r="G12" s="220">
        <f>G13+G14</f>
        <v>3057.9052099999999</v>
      </c>
    </row>
    <row r="13" spans="1:7">
      <c r="A13" s="322"/>
      <c r="B13" s="319"/>
      <c r="C13" s="335"/>
      <c r="D13" s="119" t="s">
        <v>28</v>
      </c>
      <c r="E13" s="218">
        <f t="shared" si="0"/>
        <v>242.98646000000002</v>
      </c>
      <c r="F13" s="220">
        <v>865.7</v>
      </c>
      <c r="G13" s="220">
        <f>79.15521+163.83125</f>
        <v>242.98646000000002</v>
      </c>
    </row>
    <row r="14" spans="1:7">
      <c r="A14" s="322"/>
      <c r="B14" s="319"/>
      <c r="C14" s="336"/>
      <c r="D14" s="119" t="s">
        <v>29</v>
      </c>
      <c r="E14" s="218">
        <f t="shared" si="0"/>
        <v>2814.9187499999998</v>
      </c>
      <c r="F14" s="220">
        <v>5603.5</v>
      </c>
      <c r="G14" s="220">
        <f>2814.91875</f>
        <v>2814.9187499999998</v>
      </c>
    </row>
    <row r="15" spans="1:7">
      <c r="A15" s="322"/>
      <c r="B15" s="319"/>
      <c r="C15" s="334" t="s">
        <v>32</v>
      </c>
      <c r="D15" s="118" t="s">
        <v>30</v>
      </c>
      <c r="E15" s="218">
        <f t="shared" si="0"/>
        <v>0</v>
      </c>
      <c r="F15" s="220">
        <f>F16+F17+F18</f>
        <v>0</v>
      </c>
      <c r="G15" s="220">
        <f>G16+G17+G18</f>
        <v>0</v>
      </c>
    </row>
    <row r="16" spans="1:7">
      <c r="A16" s="322"/>
      <c r="B16" s="319"/>
      <c r="C16" s="335"/>
      <c r="D16" s="119" t="s">
        <v>28</v>
      </c>
      <c r="E16" s="218">
        <f t="shared" si="0"/>
        <v>0</v>
      </c>
      <c r="F16" s="220">
        <v>0</v>
      </c>
      <c r="G16" s="220">
        <v>0</v>
      </c>
    </row>
    <row r="17" spans="1:8">
      <c r="A17" s="322"/>
      <c r="B17" s="319"/>
      <c r="C17" s="335"/>
      <c r="D17" s="119" t="s">
        <v>29</v>
      </c>
      <c r="E17" s="218">
        <f t="shared" si="0"/>
        <v>0</v>
      </c>
      <c r="F17" s="220">
        <v>0</v>
      </c>
      <c r="G17" s="220">
        <v>0</v>
      </c>
    </row>
    <row r="18" spans="1:8">
      <c r="A18" s="322"/>
      <c r="B18" s="320"/>
      <c r="C18" s="336"/>
      <c r="D18" s="119" t="s">
        <v>31</v>
      </c>
      <c r="E18" s="218">
        <f t="shared" si="0"/>
        <v>0</v>
      </c>
      <c r="F18" s="220">
        <v>0</v>
      </c>
      <c r="G18" s="220">
        <v>0</v>
      </c>
    </row>
    <row r="19" spans="1:8" s="125" customFormat="1" outlineLevel="1">
      <c r="A19" s="326" t="s">
        <v>48</v>
      </c>
      <c r="B19" s="323" t="s">
        <v>105</v>
      </c>
      <c r="C19" s="331"/>
      <c r="D19" s="124" t="s">
        <v>30</v>
      </c>
      <c r="E19" s="218">
        <f t="shared" si="0"/>
        <v>2578299.0842900006</v>
      </c>
      <c r="F19" s="220">
        <f>'Отчет_ТАБЛ 1'!H12</f>
        <v>2581646.6999999997</v>
      </c>
      <c r="G19" s="220">
        <f>'Отчет_ТАБЛ 1'!I12</f>
        <v>2578299.0842900006</v>
      </c>
      <c r="H19" s="221"/>
    </row>
    <row r="20" spans="1:8" s="125" customFormat="1" outlineLevel="1">
      <c r="A20" s="327"/>
      <c r="B20" s="324"/>
      <c r="C20" s="332"/>
      <c r="D20" s="124" t="s">
        <v>28</v>
      </c>
      <c r="E20" s="218">
        <f t="shared" si="0"/>
        <v>1075008.7587899999</v>
      </c>
      <c r="F20" s="220">
        <f>F23+F25</f>
        <v>1078356.3</v>
      </c>
      <c r="G20" s="220">
        <f>G23+G25</f>
        <v>1075008.7587899999</v>
      </c>
      <c r="H20" s="316"/>
    </row>
    <row r="21" spans="1:8" s="125" customFormat="1" outlineLevel="1">
      <c r="A21" s="327"/>
      <c r="B21" s="324"/>
      <c r="C21" s="333"/>
      <c r="D21" s="124" t="s">
        <v>29</v>
      </c>
      <c r="E21" s="218">
        <f t="shared" si="0"/>
        <v>1503290.33</v>
      </c>
      <c r="F21" s="220">
        <f>F24</f>
        <v>1503290.4</v>
      </c>
      <c r="G21" s="220">
        <f>G24</f>
        <v>1503290.33</v>
      </c>
      <c r="H21" s="317"/>
    </row>
    <row r="22" spans="1:8" s="125" customFormat="1" outlineLevel="1">
      <c r="A22" s="327"/>
      <c r="B22" s="324"/>
      <c r="C22" s="328" t="s">
        <v>254</v>
      </c>
      <c r="D22" s="124" t="s">
        <v>30</v>
      </c>
      <c r="E22" s="218">
        <f t="shared" si="0"/>
        <v>2578219.93358</v>
      </c>
      <c r="F22" s="220">
        <f>F23+F24</f>
        <v>2581107.0999999996</v>
      </c>
      <c r="G22" s="220">
        <f>G23+G24</f>
        <v>2578219.93358</v>
      </c>
    </row>
    <row r="23" spans="1:8" s="125" customFormat="1" outlineLevel="1">
      <c r="A23" s="327"/>
      <c r="B23" s="324"/>
      <c r="C23" s="329"/>
      <c r="D23" s="124" t="s">
        <v>28</v>
      </c>
      <c r="E23" s="218">
        <f t="shared" si="0"/>
        <v>1074929.6035799999</v>
      </c>
      <c r="F23" s="220">
        <v>1077816.7</v>
      </c>
      <c r="G23" s="220">
        <f>372.90074+1020385.96621-10446.815+64617.55163</f>
        <v>1074929.6035799999</v>
      </c>
    </row>
    <row r="24" spans="1:8" s="125" customFormat="1" outlineLevel="1">
      <c r="A24" s="327"/>
      <c r="B24" s="324"/>
      <c r="C24" s="330"/>
      <c r="D24" s="124" t="s">
        <v>29</v>
      </c>
      <c r="E24" s="218">
        <f t="shared" si="0"/>
        <v>1503290.33</v>
      </c>
      <c r="F24" s="220">
        <v>1503290.4</v>
      </c>
      <c r="G24" s="220">
        <f>224.70952+1503065.69048-0.07</f>
        <v>1503290.33</v>
      </c>
    </row>
    <row r="25" spans="1:8" s="125" customFormat="1" outlineLevel="1">
      <c r="A25" s="327"/>
      <c r="B25" s="325"/>
      <c r="C25" s="126" t="s">
        <v>70</v>
      </c>
      <c r="D25" s="124" t="s">
        <v>28</v>
      </c>
      <c r="E25" s="218">
        <f t="shared" si="0"/>
        <v>79.155209999999997</v>
      </c>
      <c r="F25" s="220">
        <v>539.6</v>
      </c>
      <c r="G25" s="220">
        <f>G30</f>
        <v>79.155209999999997</v>
      </c>
    </row>
    <row r="26" spans="1:8" s="125" customFormat="1" ht="31.5" outlineLevel="1">
      <c r="A26" s="127"/>
      <c r="B26" s="67" t="s">
        <v>255</v>
      </c>
      <c r="C26" s="124" t="s">
        <v>254</v>
      </c>
      <c r="D26" s="124" t="s">
        <v>28</v>
      </c>
      <c r="E26" s="218">
        <f t="shared" si="0"/>
        <v>20890.3</v>
      </c>
      <c r="F26" s="220">
        <f>'Отчет_ТАБЛ 1'!H15</f>
        <v>21456.400000000001</v>
      </c>
      <c r="G26" s="220">
        <f>'Отчет_ТАБЛ 1'!I15</f>
        <v>20890.3</v>
      </c>
    </row>
    <row r="27" spans="1:8" s="125" customFormat="1" ht="31.5" outlineLevel="1">
      <c r="A27" s="127"/>
      <c r="B27" s="67" t="s">
        <v>256</v>
      </c>
      <c r="C27" s="124" t="s">
        <v>254</v>
      </c>
      <c r="D27" s="124" t="s">
        <v>28</v>
      </c>
      <c r="E27" s="218">
        <f t="shared" si="0"/>
        <v>12949.854499999999</v>
      </c>
      <c r="F27" s="220">
        <f>'Отчет_ТАБЛ 1'!H17</f>
        <v>15335.2</v>
      </c>
      <c r="G27" s="220">
        <f>'Отчет_ТАБЛ 1'!I17</f>
        <v>12949.854499999999</v>
      </c>
    </row>
    <row r="28" spans="1:8" s="125" customFormat="1" outlineLevel="1">
      <c r="A28" s="127"/>
      <c r="B28" s="120" t="s">
        <v>257</v>
      </c>
      <c r="C28" s="124" t="s">
        <v>254</v>
      </c>
      <c r="D28" s="124" t="s">
        <v>28</v>
      </c>
      <c r="E28" s="218">
        <f t="shared" si="0"/>
        <v>0</v>
      </c>
      <c r="F28" s="220">
        <f>'Отчет_ТАБЛ 1'!H19</f>
        <v>0</v>
      </c>
      <c r="G28" s="220">
        <f>'Отчет_ТАБЛ 1'!I19</f>
        <v>0</v>
      </c>
    </row>
    <row r="29" spans="1:8" s="125" customFormat="1" outlineLevel="1">
      <c r="A29" s="127"/>
      <c r="B29" s="67" t="s">
        <v>258</v>
      </c>
      <c r="C29" s="124" t="s">
        <v>254</v>
      </c>
      <c r="D29" s="124" t="s">
        <v>28</v>
      </c>
      <c r="E29" s="218">
        <f t="shared" si="0"/>
        <v>0</v>
      </c>
      <c r="F29" s="220">
        <f>'Отчет_ТАБЛ 1'!H21</f>
        <v>0</v>
      </c>
      <c r="G29" s="220">
        <f>'Отчет_ТАБЛ 1'!I21</f>
        <v>0</v>
      </c>
    </row>
    <row r="30" spans="1:8" s="125" customFormat="1" ht="31.5" outlineLevel="1">
      <c r="A30" s="129"/>
      <c r="B30" s="67" t="s">
        <v>87</v>
      </c>
      <c r="C30" s="124" t="s">
        <v>70</v>
      </c>
      <c r="D30" s="124" t="s">
        <v>28</v>
      </c>
      <c r="E30" s="218">
        <f t="shared" si="0"/>
        <v>79.155209999999997</v>
      </c>
      <c r="F30" s="220">
        <f>'Отчет_ТАБЛ 1'!H23</f>
        <v>539.6</v>
      </c>
      <c r="G30" s="220">
        <f>'Отчет_ТАБЛ 1'!I23</f>
        <v>79.155209999999997</v>
      </c>
    </row>
    <row r="31" spans="1:8" s="125" customFormat="1" ht="31.5" outlineLevel="1">
      <c r="A31" s="129" t="s">
        <v>90</v>
      </c>
      <c r="B31" s="56" t="s">
        <v>54</v>
      </c>
      <c r="C31" s="124" t="s">
        <v>33</v>
      </c>
      <c r="D31" s="124" t="s">
        <v>29</v>
      </c>
      <c r="E31" s="218">
        <f t="shared" si="0"/>
        <v>11702.625</v>
      </c>
      <c r="F31" s="220">
        <f>'Отчет_ТАБЛ 1'!H26</f>
        <v>11990.9</v>
      </c>
      <c r="G31" s="220">
        <f>'Отчет_ТАБЛ 1'!I26</f>
        <v>11702.625</v>
      </c>
    </row>
    <row r="32" spans="1:8" s="125" customFormat="1" ht="47.25" outlineLevel="1">
      <c r="A32" s="26" t="s">
        <v>88</v>
      </c>
      <c r="B32" s="56" t="s">
        <v>89</v>
      </c>
      <c r="C32" s="169" t="s">
        <v>254</v>
      </c>
      <c r="D32" s="124" t="s">
        <v>29</v>
      </c>
      <c r="E32" s="218">
        <f t="shared" si="0"/>
        <v>0</v>
      </c>
      <c r="F32" s="220">
        <f>'Отчет_ТАБЛ 1'!H30</f>
        <v>14409.1</v>
      </c>
      <c r="G32" s="220">
        <v>0</v>
      </c>
    </row>
    <row r="33" spans="1:7" s="125" customFormat="1" outlineLevel="1">
      <c r="A33" s="326" t="s">
        <v>69</v>
      </c>
      <c r="B33" s="328" t="s">
        <v>55</v>
      </c>
      <c r="C33" s="337" t="s">
        <v>254</v>
      </c>
      <c r="D33" s="124" t="s">
        <v>30</v>
      </c>
      <c r="E33" s="218">
        <f t="shared" si="0"/>
        <v>44247.416000000005</v>
      </c>
      <c r="F33" s="220">
        <f>'Отчет_ТАБЛ 1'!H33</f>
        <v>44247.5</v>
      </c>
      <c r="G33" s="220">
        <f>'Отчет_ТАБЛ 1'!I33</f>
        <v>44247.416000000005</v>
      </c>
    </row>
    <row r="34" spans="1:7" s="125" customFormat="1" outlineLevel="1">
      <c r="A34" s="327"/>
      <c r="B34" s="329"/>
      <c r="C34" s="338"/>
      <c r="D34" s="124" t="s">
        <v>28</v>
      </c>
      <c r="E34" s="218">
        <f t="shared" si="0"/>
        <v>10446.815000000001</v>
      </c>
      <c r="F34" s="220">
        <v>10446.9</v>
      </c>
      <c r="G34" s="220">
        <v>10446.815000000001</v>
      </c>
    </row>
    <row r="35" spans="1:7" s="125" customFormat="1" outlineLevel="1">
      <c r="A35" s="340"/>
      <c r="B35" s="330"/>
      <c r="C35" s="339"/>
      <c r="D35" s="124" t="s">
        <v>29</v>
      </c>
      <c r="E35" s="218">
        <f t="shared" si="0"/>
        <v>33800.601000000002</v>
      </c>
      <c r="F35" s="220">
        <v>33800.6</v>
      </c>
      <c r="G35" s="220">
        <v>33800.601000000002</v>
      </c>
    </row>
    <row r="36" spans="1:7" s="125" customFormat="1" ht="31.5" outlineLevel="1">
      <c r="A36" s="26" t="s">
        <v>91</v>
      </c>
      <c r="B36" s="56" t="s">
        <v>56</v>
      </c>
      <c r="C36" s="124" t="s">
        <v>254</v>
      </c>
      <c r="D36" s="124" t="s">
        <v>29</v>
      </c>
      <c r="E36" s="218">
        <f t="shared" si="0"/>
        <v>91500</v>
      </c>
      <c r="F36" s="220">
        <f>'Отчет_ТАБЛ 1'!H35</f>
        <v>91500</v>
      </c>
      <c r="G36" s="220">
        <f>'Отчет_ТАБЛ 1'!I35</f>
        <v>91500</v>
      </c>
    </row>
    <row r="37" spans="1:7" s="125" customFormat="1" ht="47.25" outlineLevel="1">
      <c r="A37" s="26" t="s">
        <v>92</v>
      </c>
      <c r="B37" s="56" t="s">
        <v>94</v>
      </c>
      <c r="C37" s="124" t="s">
        <v>254</v>
      </c>
      <c r="D37" s="124" t="s">
        <v>29</v>
      </c>
      <c r="E37" s="218">
        <f t="shared" si="0"/>
        <v>15690.870220000001</v>
      </c>
      <c r="F37" s="220">
        <f>'Отчет_ТАБЛ 1'!H37</f>
        <v>16268.3</v>
      </c>
      <c r="G37" s="220">
        <f>'Отчет_ТАБЛ 1'!I37</f>
        <v>15690.870220000001</v>
      </c>
    </row>
    <row r="38" spans="1:7" s="125" customFormat="1" outlineLevel="1">
      <c r="A38" s="326" t="s">
        <v>93</v>
      </c>
      <c r="B38" s="328" t="s">
        <v>96</v>
      </c>
      <c r="C38" s="337" t="s">
        <v>32</v>
      </c>
      <c r="D38" s="124" t="s">
        <v>30</v>
      </c>
      <c r="E38" s="218">
        <f t="shared" si="0"/>
        <v>0</v>
      </c>
      <c r="F38" s="220">
        <f>'Отчет_ТАБЛ 1'!H39</f>
        <v>0</v>
      </c>
      <c r="G38" s="220">
        <f>'Отчет_ТАБЛ 1'!I39</f>
        <v>0</v>
      </c>
    </row>
    <row r="39" spans="1:7" s="125" customFormat="1" outlineLevel="1">
      <c r="A39" s="327"/>
      <c r="B39" s="329"/>
      <c r="C39" s="338"/>
      <c r="D39" s="124" t="s">
        <v>28</v>
      </c>
      <c r="E39" s="218">
        <f t="shared" si="0"/>
        <v>0</v>
      </c>
      <c r="F39" s="220">
        <v>0</v>
      </c>
      <c r="G39" s="220">
        <v>0</v>
      </c>
    </row>
    <row r="40" spans="1:7" s="125" customFormat="1" outlineLevel="1">
      <c r="A40" s="327"/>
      <c r="B40" s="329"/>
      <c r="C40" s="338"/>
      <c r="D40" s="124" t="s">
        <v>29</v>
      </c>
      <c r="E40" s="218">
        <f t="shared" si="0"/>
        <v>0</v>
      </c>
      <c r="F40" s="220">
        <v>0</v>
      </c>
      <c r="G40" s="220">
        <v>0</v>
      </c>
    </row>
    <row r="41" spans="1:7" s="125" customFormat="1" outlineLevel="1">
      <c r="A41" s="340"/>
      <c r="B41" s="330"/>
      <c r="C41" s="339"/>
      <c r="D41" s="124" t="s">
        <v>31</v>
      </c>
      <c r="E41" s="218">
        <f t="shared" si="0"/>
        <v>0</v>
      </c>
      <c r="F41" s="220">
        <v>0</v>
      </c>
      <c r="G41" s="220">
        <v>0</v>
      </c>
    </row>
    <row r="42" spans="1:7" s="125" customFormat="1" outlineLevel="1">
      <c r="A42" s="326" t="s">
        <v>95</v>
      </c>
      <c r="B42" s="328" t="s">
        <v>283</v>
      </c>
      <c r="C42" s="337" t="s">
        <v>70</v>
      </c>
      <c r="D42" s="124" t="s">
        <v>30</v>
      </c>
      <c r="E42" s="218">
        <f t="shared" si="0"/>
        <v>2978.8</v>
      </c>
      <c r="F42" s="220">
        <f>'Отчет_ТАБЛ 1'!H43</f>
        <v>2978.8</v>
      </c>
      <c r="G42" s="220">
        <f>'Отчет_ТАБЛ 1'!I43</f>
        <v>2978.8</v>
      </c>
    </row>
    <row r="43" spans="1:7" s="125" customFormat="1" outlineLevel="1">
      <c r="A43" s="327"/>
      <c r="B43" s="329"/>
      <c r="C43" s="338"/>
      <c r="D43" s="124" t="s">
        <v>28</v>
      </c>
      <c r="E43" s="218">
        <f t="shared" si="0"/>
        <v>163.83125000000001</v>
      </c>
      <c r="F43" s="220">
        <v>163.80000000000001</v>
      </c>
      <c r="G43" s="220">
        <v>163.83125000000001</v>
      </c>
    </row>
    <row r="44" spans="1:7" s="125" customFormat="1" outlineLevel="1">
      <c r="A44" s="327"/>
      <c r="B44" s="329"/>
      <c r="C44" s="338"/>
      <c r="D44" s="124" t="s">
        <v>29</v>
      </c>
      <c r="E44" s="218">
        <f t="shared" si="0"/>
        <v>2814.9187499999998</v>
      </c>
      <c r="F44" s="220">
        <v>2815</v>
      </c>
      <c r="G44" s="220">
        <v>2814.9187499999998</v>
      </c>
    </row>
    <row r="45" spans="1:7" s="125" customFormat="1" outlineLevel="1">
      <c r="A45" s="340"/>
      <c r="B45" s="330"/>
      <c r="C45" s="339"/>
      <c r="D45" s="124" t="s">
        <v>31</v>
      </c>
      <c r="E45" s="218">
        <f t="shared" si="0"/>
        <v>0</v>
      </c>
      <c r="F45" s="220">
        <v>0</v>
      </c>
      <c r="G45" s="220">
        <v>0</v>
      </c>
    </row>
    <row r="46" spans="1:7" s="125" customFormat="1" outlineLevel="1">
      <c r="A46" s="326" t="s">
        <v>97</v>
      </c>
      <c r="B46" s="328" t="s">
        <v>284</v>
      </c>
      <c r="C46" s="337" t="s">
        <v>70</v>
      </c>
      <c r="D46" s="124" t="s">
        <v>30</v>
      </c>
      <c r="E46" s="218">
        <f>G46</f>
        <v>0</v>
      </c>
      <c r="F46" s="220">
        <f>'Отчет_ТАБЛ 1'!H46</f>
        <v>2950.8</v>
      </c>
      <c r="G46" s="220">
        <f>'Отчет_ТАБЛ 1'!I46</f>
        <v>0</v>
      </c>
    </row>
    <row r="47" spans="1:7" s="125" customFormat="1" outlineLevel="1">
      <c r="A47" s="327"/>
      <c r="B47" s="329"/>
      <c r="C47" s="338"/>
      <c r="D47" s="124" t="s">
        <v>28</v>
      </c>
      <c r="E47" s="218">
        <f t="shared" si="0"/>
        <v>0</v>
      </c>
      <c r="F47" s="220">
        <v>162.30000000000001</v>
      </c>
      <c r="G47" s="220">
        <v>0</v>
      </c>
    </row>
    <row r="48" spans="1:7" s="125" customFormat="1" outlineLevel="1">
      <c r="A48" s="327"/>
      <c r="B48" s="329"/>
      <c r="C48" s="338"/>
      <c r="D48" s="124" t="s">
        <v>29</v>
      </c>
      <c r="E48" s="218">
        <f t="shared" si="0"/>
        <v>0</v>
      </c>
      <c r="F48" s="220">
        <v>2788.5</v>
      </c>
      <c r="G48" s="220">
        <v>0</v>
      </c>
    </row>
    <row r="49" spans="1:7" s="125" customFormat="1" outlineLevel="1">
      <c r="A49" s="340"/>
      <c r="B49" s="330"/>
      <c r="C49" s="339"/>
      <c r="D49" s="124" t="s">
        <v>31</v>
      </c>
      <c r="E49" s="218">
        <f t="shared" si="0"/>
        <v>0</v>
      </c>
      <c r="F49" s="220">
        <v>0</v>
      </c>
      <c r="G49" s="220">
        <v>0</v>
      </c>
    </row>
    <row r="50" spans="1:7" s="125" customFormat="1" outlineLevel="1">
      <c r="A50" s="341" t="s">
        <v>98</v>
      </c>
      <c r="B50" s="328" t="str">
        <f>'Отчет_ТАБЛ 1'!B49</f>
        <v>приобретение нежилого отдельно стоящего здания, помещения в целях реализации мероприятий по созданию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г.Оренбурге, микрорайоне, ограниченном улицами Терешковой, Рокоссовского, проспектом Победы (детского сада на 300 мест)</v>
      </c>
      <c r="C50" s="337" t="s">
        <v>32</v>
      </c>
      <c r="D50" s="124" t="s">
        <v>30</v>
      </c>
      <c r="E50" s="218">
        <f t="shared" si="0"/>
        <v>0</v>
      </c>
      <c r="F50" s="220">
        <f>'Отчет_ТАБЛ 1'!H49</f>
        <v>0</v>
      </c>
      <c r="G50" s="220">
        <f>'Отчет_ТАБЛ 1'!I49</f>
        <v>0</v>
      </c>
    </row>
    <row r="51" spans="1:7" s="125" customFormat="1" outlineLevel="1">
      <c r="A51" s="327"/>
      <c r="B51" s="329"/>
      <c r="C51" s="338"/>
      <c r="D51" s="124" t="s">
        <v>28</v>
      </c>
      <c r="E51" s="218">
        <f t="shared" si="0"/>
        <v>0</v>
      </c>
      <c r="F51" s="220">
        <v>0</v>
      </c>
      <c r="G51" s="220">
        <v>0</v>
      </c>
    </row>
    <row r="52" spans="1:7" s="125" customFormat="1" outlineLevel="1">
      <c r="A52" s="327"/>
      <c r="B52" s="329"/>
      <c r="C52" s="338"/>
      <c r="D52" s="124" t="s">
        <v>29</v>
      </c>
      <c r="E52" s="218">
        <f t="shared" si="0"/>
        <v>0</v>
      </c>
      <c r="F52" s="220">
        <v>0</v>
      </c>
      <c r="G52" s="220">
        <v>0</v>
      </c>
    </row>
    <row r="53" spans="1:7" s="125" customFormat="1" outlineLevel="1">
      <c r="A53" s="340"/>
      <c r="B53" s="330"/>
      <c r="C53" s="339"/>
      <c r="D53" s="124" t="s">
        <v>31</v>
      </c>
      <c r="E53" s="218">
        <f t="shared" si="0"/>
        <v>0</v>
      </c>
      <c r="F53" s="220">
        <v>0</v>
      </c>
      <c r="G53" s="220">
        <v>0</v>
      </c>
    </row>
    <row r="54" spans="1:7" s="125" customFormat="1" outlineLevel="1">
      <c r="A54" s="326" t="s">
        <v>99</v>
      </c>
      <c r="B54" s="328" t="s">
        <v>103</v>
      </c>
      <c r="C54" s="337" t="s">
        <v>70</v>
      </c>
      <c r="D54" s="124" t="s">
        <v>30</v>
      </c>
      <c r="E54" s="218">
        <f t="shared" si="0"/>
        <v>0</v>
      </c>
      <c r="F54" s="220">
        <f>'Отчет_ТАБЛ 1'!H53</f>
        <v>0</v>
      </c>
      <c r="G54" s="220">
        <f>'Отчет_ТАБЛ 1'!I53</f>
        <v>0</v>
      </c>
    </row>
    <row r="55" spans="1:7" s="125" customFormat="1" outlineLevel="1">
      <c r="A55" s="327"/>
      <c r="B55" s="329"/>
      <c r="C55" s="338"/>
      <c r="D55" s="124" t="s">
        <v>28</v>
      </c>
      <c r="E55" s="218">
        <f t="shared" si="0"/>
        <v>0</v>
      </c>
      <c r="F55" s="220">
        <v>0</v>
      </c>
      <c r="G55" s="220">
        <v>0</v>
      </c>
    </row>
    <row r="56" spans="1:7" s="125" customFormat="1" outlineLevel="1">
      <c r="A56" s="327"/>
      <c r="B56" s="329"/>
      <c r="C56" s="338"/>
      <c r="D56" s="124" t="s">
        <v>29</v>
      </c>
      <c r="E56" s="218">
        <f t="shared" si="0"/>
        <v>0</v>
      </c>
      <c r="F56" s="220">
        <v>0</v>
      </c>
      <c r="G56" s="220">
        <v>0</v>
      </c>
    </row>
    <row r="57" spans="1:7" s="125" customFormat="1" outlineLevel="1">
      <c r="A57" s="327"/>
      <c r="B57" s="329"/>
      <c r="C57" s="339"/>
      <c r="D57" s="124" t="s">
        <v>31</v>
      </c>
      <c r="E57" s="218">
        <f t="shared" si="0"/>
        <v>0</v>
      </c>
      <c r="F57" s="220">
        <v>0</v>
      </c>
      <c r="G57" s="220">
        <v>0</v>
      </c>
    </row>
    <row r="58" spans="1:7" s="125" customFormat="1" ht="30.75" customHeight="1" outlineLevel="1">
      <c r="A58" s="159" t="s">
        <v>100</v>
      </c>
      <c r="B58" s="161" t="s">
        <v>185</v>
      </c>
      <c r="C58" s="174" t="s">
        <v>285</v>
      </c>
      <c r="D58" s="160" t="s">
        <v>29</v>
      </c>
      <c r="E58" s="218">
        <f t="shared" si="0"/>
        <v>0</v>
      </c>
      <c r="F58" s="220">
        <f>'Отчет_ТАБЛ 1'!H58</f>
        <v>100</v>
      </c>
      <c r="G58" s="220">
        <v>0</v>
      </c>
    </row>
    <row r="59" spans="1:7">
      <c r="A59" s="373" t="s">
        <v>17</v>
      </c>
      <c r="B59" s="318" t="s">
        <v>79</v>
      </c>
      <c r="C59" s="359"/>
      <c r="D59" s="119" t="s">
        <v>30</v>
      </c>
      <c r="E59" s="218">
        <f>G59</f>
        <v>628967.13728000002</v>
      </c>
      <c r="F59" s="219">
        <f>'Отчет_ТАБЛ 1'!H59</f>
        <v>629205.6</v>
      </c>
      <c r="G59" s="219">
        <f>'Отчет_ТАБЛ 1'!I59</f>
        <v>628967.13728000002</v>
      </c>
    </row>
    <row r="60" spans="1:7">
      <c r="A60" s="374"/>
      <c r="B60" s="319"/>
      <c r="C60" s="360"/>
      <c r="D60" s="119" t="s">
        <v>28</v>
      </c>
      <c r="E60" s="218">
        <f t="shared" si="0"/>
        <v>34593.193749999999</v>
      </c>
      <c r="F60" s="219">
        <f>F64+F68</f>
        <v>34606.400000000009</v>
      </c>
      <c r="G60" s="219">
        <f>G64+G68</f>
        <v>34593.193749999999</v>
      </c>
    </row>
    <row r="61" spans="1:7">
      <c r="A61" s="374"/>
      <c r="B61" s="319"/>
      <c r="C61" s="360"/>
      <c r="D61" s="119" t="s">
        <v>29</v>
      </c>
      <c r="E61" s="218">
        <f t="shared" si="0"/>
        <v>171600.34618999998</v>
      </c>
      <c r="F61" s="219">
        <f t="shared" ref="F61:F62" si="1">F65+F69</f>
        <v>171825.59999999998</v>
      </c>
      <c r="G61" s="219">
        <f t="shared" ref="G61" si="2">G65+G69</f>
        <v>171600.34618999998</v>
      </c>
    </row>
    <row r="62" spans="1:7">
      <c r="A62" s="374"/>
      <c r="B62" s="319"/>
      <c r="C62" s="361"/>
      <c r="D62" s="119" t="s">
        <v>31</v>
      </c>
      <c r="E62" s="218">
        <f t="shared" si="0"/>
        <v>422773.59733999998</v>
      </c>
      <c r="F62" s="219">
        <f t="shared" si="1"/>
        <v>422773.6</v>
      </c>
      <c r="G62" s="219">
        <f t="shared" ref="G62" si="3">G66+G70</f>
        <v>422773.59733999998</v>
      </c>
    </row>
    <row r="63" spans="1:7">
      <c r="A63" s="134"/>
      <c r="B63" s="95"/>
      <c r="C63" s="344" t="s">
        <v>70</v>
      </c>
      <c r="D63" s="119" t="s">
        <v>30</v>
      </c>
      <c r="E63" s="218">
        <f t="shared" si="0"/>
        <v>1911.6862799999999</v>
      </c>
      <c r="F63" s="219">
        <f>SUM(F64:F66)</f>
        <v>2150.1</v>
      </c>
      <c r="G63" s="219">
        <f>SUM(G64:G66)</f>
        <v>1911.6862799999999</v>
      </c>
    </row>
    <row r="64" spans="1:7">
      <c r="A64" s="134"/>
      <c r="B64" s="95"/>
      <c r="C64" s="346"/>
      <c r="D64" s="119" t="s">
        <v>28</v>
      </c>
      <c r="E64" s="218">
        <f t="shared" si="0"/>
        <v>105.14275000000001</v>
      </c>
      <c r="F64" s="219">
        <f>F76+F80</f>
        <v>118.3</v>
      </c>
      <c r="G64" s="219">
        <f>G76+G80</f>
        <v>105.14275000000001</v>
      </c>
    </row>
    <row r="65" spans="1:7">
      <c r="A65" s="134"/>
      <c r="B65" s="95"/>
      <c r="C65" s="346"/>
      <c r="D65" s="119" t="s">
        <v>29</v>
      </c>
      <c r="E65" s="218">
        <f t="shared" si="0"/>
        <v>1806.5435299999999</v>
      </c>
      <c r="F65" s="219">
        <f t="shared" ref="F65:F66" si="4">F77+F81</f>
        <v>2031.8</v>
      </c>
      <c r="G65" s="219">
        <f t="shared" ref="G65" si="5">G77+G81</f>
        <v>1806.5435299999999</v>
      </c>
    </row>
    <row r="66" spans="1:7">
      <c r="A66" s="134"/>
      <c r="B66" s="95"/>
      <c r="C66" s="348"/>
      <c r="D66" s="119" t="s">
        <v>31</v>
      </c>
      <c r="E66" s="218">
        <f t="shared" si="0"/>
        <v>0</v>
      </c>
      <c r="F66" s="219">
        <f t="shared" si="4"/>
        <v>0</v>
      </c>
      <c r="G66" s="219">
        <f t="shared" ref="G66" si="6">G78+G82</f>
        <v>0</v>
      </c>
    </row>
    <row r="67" spans="1:7">
      <c r="A67" s="134"/>
      <c r="B67" s="95"/>
      <c r="C67" s="344" t="s">
        <v>32</v>
      </c>
      <c r="D67" s="119" t="s">
        <v>30</v>
      </c>
      <c r="E67" s="218">
        <f t="shared" si="0"/>
        <v>627055.451</v>
      </c>
      <c r="F67" s="219">
        <f>SUM(F68:F70)</f>
        <v>627055.5</v>
      </c>
      <c r="G67" s="219">
        <f>SUM(G68:G70)</f>
        <v>627055.451</v>
      </c>
    </row>
    <row r="68" spans="1:7">
      <c r="A68" s="134"/>
      <c r="B68" s="95"/>
      <c r="C68" s="346"/>
      <c r="D68" s="119" t="s">
        <v>28</v>
      </c>
      <c r="E68" s="218">
        <f t="shared" si="0"/>
        <v>34488.050999999999</v>
      </c>
      <c r="F68" s="219">
        <f>F72+F84+F88</f>
        <v>34488.100000000006</v>
      </c>
      <c r="G68" s="219">
        <f>G72+G84+G88</f>
        <v>34488.050999999999</v>
      </c>
    </row>
    <row r="69" spans="1:7">
      <c r="A69" s="134"/>
      <c r="B69" s="95"/>
      <c r="C69" s="346"/>
      <c r="D69" s="119" t="s">
        <v>29</v>
      </c>
      <c r="E69" s="218">
        <f t="shared" si="0"/>
        <v>169793.80265999999</v>
      </c>
      <c r="F69" s="219">
        <f t="shared" ref="F69:F70" si="7">F73+F85+F89</f>
        <v>169793.8</v>
      </c>
      <c r="G69" s="219">
        <f t="shared" ref="G69" si="8">G73+G85+G89</f>
        <v>169793.80265999999</v>
      </c>
    </row>
    <row r="70" spans="1:7">
      <c r="A70" s="135"/>
      <c r="B70" s="98"/>
      <c r="C70" s="348"/>
      <c r="D70" s="119" t="s">
        <v>31</v>
      </c>
      <c r="E70" s="218">
        <f t="shared" ref="E70" si="9">G70</f>
        <v>422773.59733999998</v>
      </c>
      <c r="F70" s="219">
        <f t="shared" si="7"/>
        <v>422773.6</v>
      </c>
      <c r="G70" s="219">
        <f t="shared" ref="G70" si="10">G74+G86+G90</f>
        <v>422773.59733999998</v>
      </c>
    </row>
    <row r="71" spans="1:7" s="125" customFormat="1" outlineLevel="1">
      <c r="A71" s="331" t="s">
        <v>49</v>
      </c>
      <c r="B71" s="329" t="str">
        <f>'Отчет_ТАБЛ 1'!B66</f>
        <v xml:space="preserve">приобретение нежилого отдельно стоящего здания, помещения в целях реализации мероприятий по созданию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пос. Пристанционный г.Оренбурга (детского сада на 140 мест) </v>
      </c>
      <c r="C71" s="328" t="s">
        <v>32</v>
      </c>
      <c r="D71" s="15" t="s">
        <v>30</v>
      </c>
      <c r="E71" s="218">
        <f>G71</f>
        <v>0</v>
      </c>
      <c r="F71" s="219">
        <f>'Отчет_ТАБЛ 1'!H66</f>
        <v>0</v>
      </c>
      <c r="G71" s="219">
        <f>'Отчет_ТАБЛ 1'!I66</f>
        <v>0</v>
      </c>
    </row>
    <row r="72" spans="1:7" s="125" customFormat="1" outlineLevel="1">
      <c r="A72" s="332"/>
      <c r="B72" s="329"/>
      <c r="C72" s="329"/>
      <c r="D72" s="12" t="s">
        <v>28</v>
      </c>
      <c r="E72" s="218">
        <f t="shared" ref="E72:E87" si="11">G72</f>
        <v>0</v>
      </c>
      <c r="F72" s="219">
        <v>0</v>
      </c>
      <c r="G72" s="219">
        <v>0</v>
      </c>
    </row>
    <row r="73" spans="1:7" s="125" customFormat="1" outlineLevel="1">
      <c r="A73" s="332"/>
      <c r="B73" s="329"/>
      <c r="C73" s="329"/>
      <c r="D73" s="12" t="s">
        <v>29</v>
      </c>
      <c r="E73" s="218">
        <f t="shared" si="11"/>
        <v>0</v>
      </c>
      <c r="F73" s="219">
        <v>0</v>
      </c>
      <c r="G73" s="219">
        <v>0</v>
      </c>
    </row>
    <row r="74" spans="1:7" s="125" customFormat="1" outlineLevel="1">
      <c r="A74" s="333"/>
      <c r="B74" s="330"/>
      <c r="C74" s="330"/>
      <c r="D74" s="139" t="s">
        <v>31</v>
      </c>
      <c r="E74" s="218">
        <f t="shared" si="11"/>
        <v>0</v>
      </c>
      <c r="F74" s="219">
        <v>0</v>
      </c>
      <c r="G74" s="219">
        <v>0</v>
      </c>
    </row>
    <row r="75" spans="1:7" s="125" customFormat="1" outlineLevel="1">
      <c r="A75" s="331" t="s">
        <v>130</v>
      </c>
      <c r="B75" s="351" t="s">
        <v>128</v>
      </c>
      <c r="C75" s="328" t="s">
        <v>70</v>
      </c>
      <c r="D75" s="15" t="s">
        <v>30</v>
      </c>
      <c r="E75" s="218">
        <f t="shared" si="11"/>
        <v>0</v>
      </c>
      <c r="F75" s="219">
        <f>'Отчет_ТАБЛ 1'!H71</f>
        <v>0</v>
      </c>
      <c r="G75" s="219">
        <f>'Отчет_ТАБЛ 1'!I71</f>
        <v>0</v>
      </c>
    </row>
    <row r="76" spans="1:7" s="125" customFormat="1" outlineLevel="1">
      <c r="A76" s="332"/>
      <c r="B76" s="351"/>
      <c r="C76" s="329"/>
      <c r="D76" s="12" t="s">
        <v>28</v>
      </c>
      <c r="E76" s="218">
        <f t="shared" si="11"/>
        <v>0</v>
      </c>
      <c r="F76" s="219">
        <v>0</v>
      </c>
      <c r="G76" s="219">
        <v>0</v>
      </c>
    </row>
    <row r="77" spans="1:7" s="125" customFormat="1" outlineLevel="1">
      <c r="A77" s="332"/>
      <c r="B77" s="351"/>
      <c r="C77" s="329"/>
      <c r="D77" s="12" t="s">
        <v>29</v>
      </c>
      <c r="E77" s="218">
        <f t="shared" si="11"/>
        <v>0</v>
      </c>
      <c r="F77" s="219">
        <v>0</v>
      </c>
      <c r="G77" s="219">
        <v>0</v>
      </c>
    </row>
    <row r="78" spans="1:7" s="125" customFormat="1" outlineLevel="1">
      <c r="A78" s="333"/>
      <c r="B78" s="351"/>
      <c r="C78" s="330"/>
      <c r="D78" s="139" t="s">
        <v>31</v>
      </c>
      <c r="E78" s="218">
        <f t="shared" si="11"/>
        <v>0</v>
      </c>
      <c r="F78" s="219">
        <v>0</v>
      </c>
      <c r="G78" s="219">
        <v>0</v>
      </c>
    </row>
    <row r="79" spans="1:7" s="125" customFormat="1" ht="18.75" customHeight="1" outlineLevel="1">
      <c r="A79" s="331" t="s">
        <v>131</v>
      </c>
      <c r="B79" s="351" t="s">
        <v>129</v>
      </c>
      <c r="C79" s="328" t="s">
        <v>70</v>
      </c>
      <c r="D79" s="15" t="s">
        <v>30</v>
      </c>
      <c r="E79" s="218">
        <f t="shared" si="11"/>
        <v>1911.6862799999999</v>
      </c>
      <c r="F79" s="219">
        <f>'Отчет_ТАБЛ 1'!H76</f>
        <v>2150.1</v>
      </c>
      <c r="G79" s="219">
        <f>'Отчет_ТАБЛ 1'!I76</f>
        <v>1911.6862799999999</v>
      </c>
    </row>
    <row r="80" spans="1:7" s="125" customFormat="1" outlineLevel="1">
      <c r="A80" s="332"/>
      <c r="B80" s="351"/>
      <c r="C80" s="329"/>
      <c r="D80" s="12" t="s">
        <v>28</v>
      </c>
      <c r="E80" s="218">
        <f t="shared" si="11"/>
        <v>105.14275000000001</v>
      </c>
      <c r="F80" s="219">
        <v>118.3</v>
      </c>
      <c r="G80" s="219">
        <v>105.14275000000001</v>
      </c>
    </row>
    <row r="81" spans="1:7" s="125" customFormat="1" outlineLevel="1">
      <c r="A81" s="332"/>
      <c r="B81" s="351"/>
      <c r="C81" s="329"/>
      <c r="D81" s="12" t="s">
        <v>29</v>
      </c>
      <c r="E81" s="218">
        <f t="shared" si="11"/>
        <v>1806.5435299999999</v>
      </c>
      <c r="F81" s="219">
        <v>2031.8</v>
      </c>
      <c r="G81" s="219">
        <v>1806.5435299999999</v>
      </c>
    </row>
    <row r="82" spans="1:7" s="125" customFormat="1" outlineLevel="1">
      <c r="A82" s="333"/>
      <c r="B82" s="351"/>
      <c r="C82" s="330"/>
      <c r="D82" s="139" t="s">
        <v>31</v>
      </c>
      <c r="E82" s="218">
        <f t="shared" si="11"/>
        <v>0</v>
      </c>
      <c r="F82" s="219">
        <v>0</v>
      </c>
      <c r="G82" s="219">
        <v>0</v>
      </c>
    </row>
    <row r="83" spans="1:7" s="125" customFormat="1" outlineLevel="1">
      <c r="A83" s="331" t="s">
        <v>132</v>
      </c>
      <c r="B83" s="351" t="s">
        <v>134</v>
      </c>
      <c r="C83" s="328" t="s">
        <v>32</v>
      </c>
      <c r="D83" s="15" t="s">
        <v>30</v>
      </c>
      <c r="E83" s="218">
        <f t="shared" si="11"/>
        <v>323379.78899999999</v>
      </c>
      <c r="F83" s="219">
        <f>'Отчет_ТАБЛ 1'!H81</f>
        <v>323379.8</v>
      </c>
      <c r="G83" s="219">
        <f>'Отчет_ТАБЛ 1'!I81</f>
        <v>323379.78899999999</v>
      </c>
    </row>
    <row r="84" spans="1:7" s="125" customFormat="1" outlineLevel="1">
      <c r="A84" s="332"/>
      <c r="B84" s="351"/>
      <c r="C84" s="329"/>
      <c r="D84" s="12" t="s">
        <v>28</v>
      </c>
      <c r="E84" s="218">
        <f t="shared" si="11"/>
        <v>17785.888999999999</v>
      </c>
      <c r="F84" s="219">
        <v>17785.900000000001</v>
      </c>
      <c r="G84" s="219">
        <f>12815.559+4970.33</f>
        <v>17785.888999999999</v>
      </c>
    </row>
    <row r="85" spans="1:7" s="125" customFormat="1" outlineLevel="1">
      <c r="A85" s="332"/>
      <c r="B85" s="351"/>
      <c r="C85" s="329"/>
      <c r="D85" s="12" t="s">
        <v>29</v>
      </c>
      <c r="E85" s="218">
        <f t="shared" si="11"/>
        <v>94207.101330000005</v>
      </c>
      <c r="F85" s="219">
        <v>94207.1</v>
      </c>
      <c r="G85" s="219">
        <f>8807.80133+85399.3</f>
        <v>94207.101330000005</v>
      </c>
    </row>
    <row r="86" spans="1:7" s="125" customFormat="1" outlineLevel="1">
      <c r="A86" s="333"/>
      <c r="B86" s="351"/>
      <c r="C86" s="330"/>
      <c r="D86" s="139" t="s">
        <v>31</v>
      </c>
      <c r="E86" s="218">
        <f t="shared" si="11"/>
        <v>211386.79866999999</v>
      </c>
      <c r="F86" s="219">
        <v>211386.8</v>
      </c>
      <c r="G86" s="219">
        <v>211386.79866999999</v>
      </c>
    </row>
    <row r="87" spans="1:7" s="125" customFormat="1" outlineLevel="1">
      <c r="A87" s="331" t="s">
        <v>133</v>
      </c>
      <c r="B87" s="351" t="s">
        <v>135</v>
      </c>
      <c r="C87" s="328" t="s">
        <v>32</v>
      </c>
      <c r="D87" s="15" t="s">
        <v>30</v>
      </c>
      <c r="E87" s="218">
        <f t="shared" si="11"/>
        <v>303675.66200000001</v>
      </c>
      <c r="F87" s="219">
        <f>'Отчет_ТАБЛ 1'!H86</f>
        <v>303675.7</v>
      </c>
      <c r="G87" s="219">
        <f>'Отчет_ТАБЛ 1'!I86</f>
        <v>303675.66200000001</v>
      </c>
    </row>
    <row r="88" spans="1:7" s="125" customFormat="1" outlineLevel="1">
      <c r="A88" s="332"/>
      <c r="B88" s="351"/>
      <c r="C88" s="329"/>
      <c r="D88" s="12" t="s">
        <v>28</v>
      </c>
      <c r="E88" s="218">
        <f>G88</f>
        <v>16702.162</v>
      </c>
      <c r="F88" s="219">
        <v>16702.2</v>
      </c>
      <c r="G88" s="219">
        <f>12815.559+3886.603</f>
        <v>16702.162</v>
      </c>
    </row>
    <row r="89" spans="1:7" s="125" customFormat="1" outlineLevel="1">
      <c r="A89" s="332"/>
      <c r="B89" s="351"/>
      <c r="C89" s="329"/>
      <c r="D89" s="12" t="s">
        <v>29</v>
      </c>
      <c r="E89" s="218">
        <f t="shared" ref="E89:E102" si="12">G89</f>
        <v>75586.701329999996</v>
      </c>
      <c r="F89" s="219">
        <v>75586.7</v>
      </c>
      <c r="G89" s="219">
        <f>8807.80133+66778.9</f>
        <v>75586.701329999996</v>
      </c>
    </row>
    <row r="90" spans="1:7" s="125" customFormat="1" outlineLevel="1">
      <c r="A90" s="333"/>
      <c r="B90" s="351"/>
      <c r="C90" s="330"/>
      <c r="D90" s="139" t="s">
        <v>31</v>
      </c>
      <c r="E90" s="218">
        <f t="shared" si="12"/>
        <v>211386.79866999999</v>
      </c>
      <c r="F90" s="219">
        <v>211386.8</v>
      </c>
      <c r="G90" s="219">
        <v>211386.79866999999</v>
      </c>
    </row>
    <row r="91" spans="1:7" s="142" customFormat="1">
      <c r="A91" s="343" t="s">
        <v>259</v>
      </c>
      <c r="B91" s="344"/>
      <c r="C91" s="363"/>
      <c r="D91" s="118" t="s">
        <v>30</v>
      </c>
      <c r="E91" s="218">
        <f t="shared" si="12"/>
        <v>3387456.0662899995</v>
      </c>
      <c r="F91" s="219">
        <f>SUM(F92:F94)</f>
        <v>3395297.7000000007</v>
      </c>
      <c r="G91" s="219">
        <f>SUM(G92:G94)</f>
        <v>3387456.0662899995</v>
      </c>
    </row>
    <row r="92" spans="1:7" s="142" customFormat="1">
      <c r="A92" s="345"/>
      <c r="B92" s="346"/>
      <c r="C92" s="364"/>
      <c r="D92" s="118" t="s">
        <v>28</v>
      </c>
      <c r="E92" s="218">
        <f t="shared" si="12"/>
        <v>1120212.5987899997</v>
      </c>
      <c r="F92" s="219">
        <f>F96+F99+F103</f>
        <v>1123735.7000000002</v>
      </c>
      <c r="G92" s="219">
        <f>G96+G99+G103</f>
        <v>1120212.5987899997</v>
      </c>
    </row>
    <row r="93" spans="1:7" s="142" customFormat="1">
      <c r="A93" s="345"/>
      <c r="B93" s="346"/>
      <c r="C93" s="364"/>
      <c r="D93" s="118" t="s">
        <v>29</v>
      </c>
      <c r="E93" s="218">
        <f t="shared" si="12"/>
        <v>1844469.8701600002</v>
      </c>
      <c r="F93" s="219">
        <f>F97+F100+F104</f>
        <v>1848788.4000000001</v>
      </c>
      <c r="G93" s="219">
        <f>G97+G100+G104</f>
        <v>1844469.8701600002</v>
      </c>
    </row>
    <row r="94" spans="1:7" s="142" customFormat="1">
      <c r="A94" s="345"/>
      <c r="B94" s="346"/>
      <c r="C94" s="365"/>
      <c r="D94" s="118" t="s">
        <v>31</v>
      </c>
      <c r="E94" s="218">
        <f t="shared" si="12"/>
        <v>422773.59733999998</v>
      </c>
      <c r="F94" s="219">
        <f>F101+F105</f>
        <v>422773.6</v>
      </c>
      <c r="G94" s="219">
        <f>G101+G105</f>
        <v>422773.59733999998</v>
      </c>
    </row>
    <row r="95" spans="1:7" s="142" customFormat="1">
      <c r="A95" s="345"/>
      <c r="B95" s="346"/>
      <c r="C95" s="342" t="s">
        <v>254</v>
      </c>
      <c r="D95" s="118" t="s">
        <v>30</v>
      </c>
      <c r="E95" s="218">
        <f t="shared" si="12"/>
        <v>2755431.0237999996</v>
      </c>
      <c r="F95" s="219">
        <f>SUM(F96:F97)</f>
        <v>2759622.9000000004</v>
      </c>
      <c r="G95" s="219">
        <f>SUM(G96:G97)</f>
        <v>2755431.0237999996</v>
      </c>
    </row>
    <row r="96" spans="1:7" s="142" customFormat="1">
      <c r="A96" s="345"/>
      <c r="B96" s="346"/>
      <c r="C96" s="342"/>
      <c r="D96" s="118" t="s">
        <v>28</v>
      </c>
      <c r="E96" s="218">
        <f t="shared" si="12"/>
        <v>1085376.4185799998</v>
      </c>
      <c r="F96" s="219">
        <f>F10</f>
        <v>1088263.6000000001</v>
      </c>
      <c r="G96" s="219">
        <f>G10</f>
        <v>1085376.4185799998</v>
      </c>
    </row>
    <row r="97" spans="1:7" s="142" customFormat="1">
      <c r="A97" s="345"/>
      <c r="B97" s="346"/>
      <c r="C97" s="342"/>
      <c r="D97" s="118" t="s">
        <v>29</v>
      </c>
      <c r="E97" s="218">
        <f t="shared" si="12"/>
        <v>1670054.60522</v>
      </c>
      <c r="F97" s="219">
        <f>F11</f>
        <v>1671359.3</v>
      </c>
      <c r="G97" s="219">
        <f>G11</f>
        <v>1670054.60522</v>
      </c>
    </row>
    <row r="98" spans="1:7" s="142" customFormat="1">
      <c r="A98" s="345"/>
      <c r="B98" s="346"/>
      <c r="C98" s="342" t="s">
        <v>32</v>
      </c>
      <c r="D98" s="118" t="s">
        <v>30</v>
      </c>
      <c r="E98" s="218">
        <f t="shared" si="12"/>
        <v>627055.451</v>
      </c>
      <c r="F98" s="219">
        <f>SUM(F99:F101)</f>
        <v>627055.5</v>
      </c>
      <c r="G98" s="219">
        <f>SUM(G99:G101)</f>
        <v>627055.451</v>
      </c>
    </row>
    <row r="99" spans="1:7">
      <c r="A99" s="345"/>
      <c r="B99" s="346"/>
      <c r="C99" s="342"/>
      <c r="D99" s="118" t="s">
        <v>28</v>
      </c>
      <c r="E99" s="218">
        <f t="shared" si="12"/>
        <v>34488.050999999999</v>
      </c>
      <c r="F99" s="219">
        <f t="shared" ref="F99:G101" si="13">F16+F68</f>
        <v>34488.100000000006</v>
      </c>
      <c r="G99" s="219">
        <f t="shared" si="13"/>
        <v>34488.050999999999</v>
      </c>
    </row>
    <row r="100" spans="1:7">
      <c r="A100" s="345"/>
      <c r="B100" s="346"/>
      <c r="C100" s="342"/>
      <c r="D100" s="118" t="s">
        <v>29</v>
      </c>
      <c r="E100" s="218">
        <f t="shared" si="12"/>
        <v>169793.80265999999</v>
      </c>
      <c r="F100" s="219">
        <f t="shared" si="13"/>
        <v>169793.8</v>
      </c>
      <c r="G100" s="219">
        <f t="shared" si="13"/>
        <v>169793.80265999999</v>
      </c>
    </row>
    <row r="101" spans="1:7">
      <c r="A101" s="345"/>
      <c r="B101" s="346"/>
      <c r="C101" s="342"/>
      <c r="D101" s="118" t="s">
        <v>31</v>
      </c>
      <c r="E101" s="218">
        <f t="shared" si="12"/>
        <v>422773.59733999998</v>
      </c>
      <c r="F101" s="219">
        <f t="shared" si="13"/>
        <v>422773.6</v>
      </c>
      <c r="G101" s="219">
        <f t="shared" si="13"/>
        <v>422773.59733999998</v>
      </c>
    </row>
    <row r="102" spans="1:7">
      <c r="A102" s="345"/>
      <c r="B102" s="346"/>
      <c r="C102" s="342" t="s">
        <v>70</v>
      </c>
      <c r="D102" s="118" t="s">
        <v>30</v>
      </c>
      <c r="E102" s="218">
        <f t="shared" si="12"/>
        <v>4969.5914899999998</v>
      </c>
      <c r="F102" s="219">
        <f>SUM(F103:F105)</f>
        <v>8619.2999999999993</v>
      </c>
      <c r="G102" s="219">
        <f>SUM(G103:G105)</f>
        <v>4969.5914899999998</v>
      </c>
    </row>
    <row r="103" spans="1:7">
      <c r="A103" s="345"/>
      <c r="B103" s="346"/>
      <c r="C103" s="342"/>
      <c r="D103" s="118" t="s">
        <v>28</v>
      </c>
      <c r="E103" s="218">
        <f>G103</f>
        <v>348.12921000000006</v>
      </c>
      <c r="F103" s="219">
        <f>F13+F64</f>
        <v>984</v>
      </c>
      <c r="G103" s="219">
        <f>G13+G64</f>
        <v>348.12921000000006</v>
      </c>
    </row>
    <row r="104" spans="1:7">
      <c r="A104" s="345"/>
      <c r="B104" s="346"/>
      <c r="C104" s="342"/>
      <c r="D104" s="118" t="s">
        <v>29</v>
      </c>
      <c r="E104" s="218">
        <f t="shared" ref="E104:E105" si="14">G104</f>
        <v>4621.4622799999997</v>
      </c>
      <c r="F104" s="219">
        <f>F14+F65</f>
        <v>7635.3</v>
      </c>
      <c r="G104" s="219">
        <f>G14+G65</f>
        <v>4621.4622799999997</v>
      </c>
    </row>
    <row r="105" spans="1:7">
      <c r="A105" s="347"/>
      <c r="B105" s="348"/>
      <c r="C105" s="342"/>
      <c r="D105" s="118" t="s">
        <v>31</v>
      </c>
      <c r="E105" s="218">
        <f t="shared" si="14"/>
        <v>0</v>
      </c>
      <c r="F105" s="219">
        <f>F66</f>
        <v>0</v>
      </c>
      <c r="G105" s="219">
        <f>G66</f>
        <v>0</v>
      </c>
    </row>
    <row r="106" spans="1:7" ht="18.75" customHeight="1">
      <c r="A106" s="355" t="s">
        <v>139</v>
      </c>
      <c r="B106" s="356"/>
      <c r="C106" s="357"/>
      <c r="D106" s="357"/>
      <c r="E106" s="357"/>
      <c r="F106" s="357"/>
      <c r="G106" s="358"/>
    </row>
    <row r="107" spans="1:7">
      <c r="A107" s="321" t="s">
        <v>20</v>
      </c>
      <c r="B107" s="318" t="s">
        <v>140</v>
      </c>
      <c r="C107" s="359"/>
      <c r="D107" s="118" t="s">
        <v>30</v>
      </c>
      <c r="E107" s="13">
        <f>G107</f>
        <v>4067614.6019100007</v>
      </c>
      <c r="F107" s="8">
        <f>'Отчет_ТАБЛ 1'!H94</f>
        <v>4127659.1999999993</v>
      </c>
      <c r="G107" s="8">
        <f>'Отчет_ТАБЛ 1'!I94</f>
        <v>4067614.6019100007</v>
      </c>
    </row>
    <row r="108" spans="1:7">
      <c r="A108" s="322"/>
      <c r="B108" s="319"/>
      <c r="C108" s="360"/>
      <c r="D108" s="119" t="s">
        <v>28</v>
      </c>
      <c r="E108" s="13">
        <f t="shared" ref="E108:E172" si="15">G108</f>
        <v>1438781.65962</v>
      </c>
      <c r="F108" s="8">
        <f>F112+F115</f>
        <v>1447038.6</v>
      </c>
      <c r="G108" s="8">
        <f>G112+G115</f>
        <v>1438781.65962</v>
      </c>
    </row>
    <row r="109" spans="1:7">
      <c r="A109" s="322"/>
      <c r="B109" s="319"/>
      <c r="C109" s="360"/>
      <c r="D109" s="119" t="s">
        <v>29</v>
      </c>
      <c r="E109" s="13">
        <f t="shared" si="15"/>
        <v>2453341.2754100002</v>
      </c>
      <c r="F109" s="8">
        <f t="shared" ref="F109:G110" si="16">F113</f>
        <v>2477517.8999999994</v>
      </c>
      <c r="G109" s="8">
        <f t="shared" si="16"/>
        <v>2453341.2754100002</v>
      </c>
    </row>
    <row r="110" spans="1:7">
      <c r="A110" s="322"/>
      <c r="B110" s="319"/>
      <c r="C110" s="361"/>
      <c r="D110" s="119" t="s">
        <v>31</v>
      </c>
      <c r="E110" s="13">
        <f t="shared" si="15"/>
        <v>175491.58377</v>
      </c>
      <c r="F110" s="8">
        <f t="shared" si="16"/>
        <v>203102.69999999998</v>
      </c>
      <c r="G110" s="8">
        <f t="shared" si="16"/>
        <v>175491.58377</v>
      </c>
    </row>
    <row r="111" spans="1:7">
      <c r="A111" s="133"/>
      <c r="B111" s="136"/>
      <c r="C111" s="344" t="s">
        <v>260</v>
      </c>
      <c r="D111" s="118" t="s">
        <v>30</v>
      </c>
      <c r="E111" s="13">
        <f t="shared" si="15"/>
        <v>4066787.7304000002</v>
      </c>
      <c r="F111" s="8">
        <f>SUM(F112:F114)</f>
        <v>4126607.1999999997</v>
      </c>
      <c r="G111" s="8">
        <f>SUM(G112:G114)</f>
        <v>4066787.7304000002</v>
      </c>
    </row>
    <row r="112" spans="1:7">
      <c r="A112" s="133"/>
      <c r="B112" s="136"/>
      <c r="C112" s="346"/>
      <c r="D112" s="119" t="s">
        <v>28</v>
      </c>
      <c r="E112" s="13">
        <f t="shared" si="15"/>
        <v>1437954.8712200001</v>
      </c>
      <c r="F112" s="8">
        <f>F117+F130+F136+F139+F145+F153</f>
        <v>1445986.6</v>
      </c>
      <c r="G112" s="8">
        <f>G117+G130+G136+G139+G145+G153</f>
        <v>1437954.8712200001</v>
      </c>
    </row>
    <row r="113" spans="1:7">
      <c r="A113" s="133"/>
      <c r="B113" s="136"/>
      <c r="C113" s="346"/>
      <c r="D113" s="119" t="s">
        <v>29</v>
      </c>
      <c r="E113" s="13">
        <f t="shared" si="15"/>
        <v>2453341.2754100002</v>
      </c>
      <c r="F113" s="8">
        <f>F137+F140+F142+F143+F146+F147+F148+F149+F151+F154</f>
        <v>2477517.8999999994</v>
      </c>
      <c r="G113" s="8">
        <f>G137+G140+G142+G143+G146+G147+G148+G149+G151+G154</f>
        <v>2453341.2754100002</v>
      </c>
    </row>
    <row r="114" spans="1:7">
      <c r="A114" s="133"/>
      <c r="B114" s="136"/>
      <c r="C114" s="348"/>
      <c r="D114" s="119" t="s">
        <v>31</v>
      </c>
      <c r="E114" s="13">
        <f t="shared" si="15"/>
        <v>175491.58377</v>
      </c>
      <c r="F114" s="8">
        <f>F141+F150+F155</f>
        <v>203102.69999999998</v>
      </c>
      <c r="G114" s="8">
        <f>G141+G150+G155</f>
        <v>175491.58377</v>
      </c>
    </row>
    <row r="115" spans="1:7">
      <c r="A115" s="133"/>
      <c r="B115" s="137"/>
      <c r="C115" s="143" t="s">
        <v>70</v>
      </c>
      <c r="D115" s="31" t="s">
        <v>28</v>
      </c>
      <c r="E115" s="13">
        <f t="shared" si="15"/>
        <v>826.78840000000002</v>
      </c>
      <c r="F115" s="8">
        <f>F128+F129</f>
        <v>1052</v>
      </c>
      <c r="G115" s="8">
        <f>G128+G129</f>
        <v>826.78840000000002</v>
      </c>
    </row>
    <row r="116" spans="1:7" s="125" customFormat="1" outlineLevel="1">
      <c r="A116" s="326" t="s">
        <v>50</v>
      </c>
      <c r="B116" s="366" t="s">
        <v>168</v>
      </c>
      <c r="C116" s="56"/>
      <c r="D116" s="124" t="s">
        <v>28</v>
      </c>
      <c r="E116" s="13">
        <f t="shared" si="15"/>
        <v>715459.92350999999</v>
      </c>
      <c r="F116" s="8">
        <f>'Отчет_ТАБЛ 1'!H95</f>
        <v>722689.7</v>
      </c>
      <c r="G116" s="8">
        <f>'Отчет_ТАБЛ 1'!I95</f>
        <v>715459.92350999999</v>
      </c>
    </row>
    <row r="117" spans="1:7" s="125" customFormat="1" outlineLevel="1">
      <c r="A117" s="327"/>
      <c r="B117" s="366"/>
      <c r="C117" s="56" t="s">
        <v>78</v>
      </c>
      <c r="D117" s="124" t="s">
        <v>28</v>
      </c>
      <c r="E117" s="13">
        <f t="shared" si="15"/>
        <v>714633.1</v>
      </c>
      <c r="F117" s="8">
        <v>721637.7</v>
      </c>
      <c r="G117" s="8">
        <v>714633.1</v>
      </c>
    </row>
    <row r="118" spans="1:7" s="125" customFormat="1" outlineLevel="1">
      <c r="A118" s="327"/>
      <c r="B118" s="323"/>
      <c r="C118" s="128" t="s">
        <v>70</v>
      </c>
      <c r="D118" s="128" t="s">
        <v>28</v>
      </c>
      <c r="E118" s="13">
        <f t="shared" si="15"/>
        <v>826.8</v>
      </c>
      <c r="F118" s="185">
        <v>1052</v>
      </c>
      <c r="G118" s="185">
        <v>826.8</v>
      </c>
    </row>
    <row r="119" spans="1:7" s="125" customFormat="1" ht="31.5" outlineLevel="1">
      <c r="A119" s="127"/>
      <c r="B119" s="56" t="s">
        <v>146</v>
      </c>
      <c r="C119" s="56" t="s">
        <v>78</v>
      </c>
      <c r="D119" s="124" t="s">
        <v>28</v>
      </c>
      <c r="E119" s="13">
        <f>G119</f>
        <v>315</v>
      </c>
      <c r="F119" s="8">
        <f>'Отчет_ТАБЛ 1'!H96</f>
        <v>315</v>
      </c>
      <c r="G119" s="8">
        <f>'Отчет_ТАБЛ 1'!I96</f>
        <v>315</v>
      </c>
    </row>
    <row r="120" spans="1:7" s="125" customFormat="1" ht="38.25" customHeight="1" outlineLevel="1">
      <c r="A120" s="127"/>
      <c r="B120" s="56" t="s">
        <v>147</v>
      </c>
      <c r="C120" s="56" t="s">
        <v>78</v>
      </c>
      <c r="D120" s="124" t="s">
        <v>28</v>
      </c>
      <c r="E120" s="13">
        <f t="shared" si="15"/>
        <v>1500</v>
      </c>
      <c r="F120" s="8">
        <f>'Отчет_ТАБЛ 1'!H98</f>
        <v>1500</v>
      </c>
      <c r="G120" s="8">
        <f>'Отчет_ТАБЛ 1'!I98</f>
        <v>1500</v>
      </c>
    </row>
    <row r="121" spans="1:7" s="125" customFormat="1" ht="31.5" outlineLevel="1">
      <c r="A121" s="127"/>
      <c r="B121" s="56" t="s">
        <v>150</v>
      </c>
      <c r="C121" s="56" t="s">
        <v>78</v>
      </c>
      <c r="D121" s="124" t="s">
        <v>28</v>
      </c>
      <c r="E121" s="13">
        <f t="shared" si="15"/>
        <v>20</v>
      </c>
      <c r="F121" s="8">
        <f>'Отчет_ТАБЛ 1'!H100</f>
        <v>20</v>
      </c>
      <c r="G121" s="8">
        <f>'Отчет_ТАБЛ 1'!I100</f>
        <v>20</v>
      </c>
    </row>
    <row r="122" spans="1:7" s="125" customFormat="1" ht="31.5" outlineLevel="1">
      <c r="A122" s="127"/>
      <c r="B122" s="56" t="s">
        <v>151</v>
      </c>
      <c r="C122" s="56" t="s">
        <v>78</v>
      </c>
      <c r="D122" s="124" t="s">
        <v>28</v>
      </c>
      <c r="E122" s="13">
        <f t="shared" si="15"/>
        <v>200</v>
      </c>
      <c r="F122" s="8">
        <f>'Отчет_ТАБЛ 1'!H102</f>
        <v>200</v>
      </c>
      <c r="G122" s="8">
        <f>'Отчет_ТАБЛ 1'!I102</f>
        <v>200</v>
      </c>
    </row>
    <row r="123" spans="1:7" s="125" customFormat="1" outlineLevel="1">
      <c r="A123" s="127"/>
      <c r="B123" s="56" t="s">
        <v>152</v>
      </c>
      <c r="C123" s="56" t="s">
        <v>78</v>
      </c>
      <c r="D123" s="124" t="s">
        <v>28</v>
      </c>
      <c r="E123" s="13">
        <f t="shared" si="15"/>
        <v>0</v>
      </c>
      <c r="F123" s="8">
        <f>'Отчет_ТАБЛ 1'!H104</f>
        <v>40</v>
      </c>
      <c r="G123" s="8">
        <f>'Отчет_ТАБЛ 1'!I104</f>
        <v>0</v>
      </c>
    </row>
    <row r="124" spans="1:7" s="125" customFormat="1" ht="31.5" outlineLevel="1">
      <c r="A124" s="145"/>
      <c r="B124" s="56" t="s">
        <v>261</v>
      </c>
      <c r="C124" s="56" t="s">
        <v>78</v>
      </c>
      <c r="D124" s="124" t="s">
        <v>28</v>
      </c>
      <c r="E124" s="13">
        <f t="shared" si="15"/>
        <v>12732.4</v>
      </c>
      <c r="F124" s="8">
        <f>'Отчет_ТАБЛ 1'!H106</f>
        <v>12732.4</v>
      </c>
      <c r="G124" s="8">
        <f>'Отчет_ТАБЛ 1'!I106</f>
        <v>12732.4</v>
      </c>
    </row>
    <row r="125" spans="1:7" s="125" customFormat="1" ht="31.5" outlineLevel="1">
      <c r="A125" s="145"/>
      <c r="B125" s="56" t="s">
        <v>256</v>
      </c>
      <c r="C125" s="56" t="s">
        <v>78</v>
      </c>
      <c r="D125" s="124" t="s">
        <v>28</v>
      </c>
      <c r="E125" s="13">
        <f t="shared" si="15"/>
        <v>27242.738010000001</v>
      </c>
      <c r="F125" s="8">
        <f>'Отчет_ТАБЛ 1'!H108</f>
        <v>34199.5</v>
      </c>
      <c r="G125" s="8">
        <f>'Отчет_ТАБЛ 1'!I108</f>
        <v>27242.738010000001</v>
      </c>
    </row>
    <row r="126" spans="1:7" s="125" customFormat="1" outlineLevel="1">
      <c r="A126" s="145"/>
      <c r="B126" s="56" t="s">
        <v>262</v>
      </c>
      <c r="C126" s="56" t="s">
        <v>78</v>
      </c>
      <c r="D126" s="124" t="s">
        <v>28</v>
      </c>
      <c r="E126" s="13">
        <f>G126</f>
        <v>1302.7</v>
      </c>
      <c r="F126" s="8">
        <f>'Отчет_ТАБЛ 1'!H110</f>
        <v>1302.7</v>
      </c>
      <c r="G126" s="8">
        <f>'Отчет_ТАБЛ 1'!I110</f>
        <v>1302.7</v>
      </c>
    </row>
    <row r="127" spans="1:7" s="125" customFormat="1" ht="18" customHeight="1" outlineLevel="1">
      <c r="A127" s="145"/>
      <c r="B127" s="56" t="s">
        <v>263</v>
      </c>
      <c r="C127" s="56" t="s">
        <v>78</v>
      </c>
      <c r="D127" s="124" t="s">
        <v>28</v>
      </c>
      <c r="E127" s="13">
        <f t="shared" si="15"/>
        <v>180</v>
      </c>
      <c r="F127" s="8">
        <f>'Отчет_ТАБЛ 1'!H112</f>
        <v>180</v>
      </c>
      <c r="G127" s="8">
        <f>'Отчет_ТАБЛ 1'!I112</f>
        <v>180</v>
      </c>
    </row>
    <row r="128" spans="1:7" s="125" customFormat="1" ht="31.5" outlineLevel="1">
      <c r="A128" s="127"/>
      <c r="B128" s="56" t="s">
        <v>163</v>
      </c>
      <c r="C128" s="124" t="s">
        <v>70</v>
      </c>
      <c r="D128" s="124" t="s">
        <v>28</v>
      </c>
      <c r="E128" s="13">
        <f t="shared" si="15"/>
        <v>799.99998000000005</v>
      </c>
      <c r="F128" s="8">
        <f>'Отчет_ТАБЛ 1'!H114</f>
        <v>800</v>
      </c>
      <c r="G128" s="8">
        <f>'Отчет_ТАБЛ 1'!I114</f>
        <v>799.99998000000005</v>
      </c>
    </row>
    <row r="129" spans="1:7" s="125" customFormat="1" ht="31.5" outlineLevel="1">
      <c r="A129" s="129"/>
      <c r="B129" s="56" t="s">
        <v>166</v>
      </c>
      <c r="C129" s="124" t="s">
        <v>70</v>
      </c>
      <c r="D129" s="124" t="s">
        <v>28</v>
      </c>
      <c r="E129" s="13">
        <f t="shared" si="15"/>
        <v>26.788419999999999</v>
      </c>
      <c r="F129" s="8">
        <f>'Отчет_ТАБЛ 1'!H116</f>
        <v>252</v>
      </c>
      <c r="G129" s="8">
        <f>'Отчет_ТАБЛ 1'!I116</f>
        <v>26.788419999999999</v>
      </c>
    </row>
    <row r="130" spans="1:7" s="125" customFormat="1" outlineLevel="1">
      <c r="A130" s="326" t="s">
        <v>71</v>
      </c>
      <c r="B130" s="122" t="s">
        <v>167</v>
      </c>
      <c r="C130" s="124" t="s">
        <v>264</v>
      </c>
      <c r="D130" s="124" t="s">
        <v>28</v>
      </c>
      <c r="E130" s="13">
        <f t="shared" si="15"/>
        <v>659885.63592999999</v>
      </c>
      <c r="F130" s="148">
        <f>'Отчет_ТАБЛ 1'!H118</f>
        <v>660032.30000000005</v>
      </c>
      <c r="G130" s="148">
        <f>'Отчет_ТАБЛ 1'!I118</f>
        <v>659885.63592999999</v>
      </c>
    </row>
    <row r="131" spans="1:7" s="125" customFormat="1" ht="31.5" outlineLevel="1">
      <c r="A131" s="327"/>
      <c r="B131" s="121" t="s">
        <v>265</v>
      </c>
      <c r="C131" s="124" t="s">
        <v>264</v>
      </c>
      <c r="D131" s="124" t="s">
        <v>28</v>
      </c>
      <c r="E131" s="13">
        <f t="shared" si="15"/>
        <v>0</v>
      </c>
      <c r="F131" s="8">
        <f>'Отчет_ТАБЛ 1'!H119</f>
        <v>0</v>
      </c>
      <c r="G131" s="8">
        <f>'Отчет_ТАБЛ 1'!I119</f>
        <v>0</v>
      </c>
    </row>
    <row r="132" spans="1:7" s="125" customFormat="1" ht="31.5" outlineLevel="1">
      <c r="A132" s="327"/>
      <c r="B132" s="121" t="s">
        <v>256</v>
      </c>
      <c r="C132" s="124" t="s">
        <v>264</v>
      </c>
      <c r="D132" s="124" t="s">
        <v>28</v>
      </c>
      <c r="E132" s="13">
        <f t="shared" si="15"/>
        <v>872.64359999999999</v>
      </c>
      <c r="F132" s="8">
        <f>'Отчет_ТАБЛ 1'!H120</f>
        <v>978</v>
      </c>
      <c r="G132" s="8">
        <f>'Отчет_ТАБЛ 1'!I120</f>
        <v>872.64359999999999</v>
      </c>
    </row>
    <row r="133" spans="1:7" s="125" customFormat="1" outlineLevel="1">
      <c r="A133" s="327"/>
      <c r="B133" s="121" t="s">
        <v>266</v>
      </c>
      <c r="C133" s="124" t="s">
        <v>264</v>
      </c>
      <c r="D133" s="124" t="s">
        <v>28</v>
      </c>
      <c r="E133" s="13">
        <f t="shared" si="15"/>
        <v>0</v>
      </c>
      <c r="F133" s="8">
        <f>'Отчет_ТАБЛ 1'!H122</f>
        <v>0</v>
      </c>
      <c r="G133" s="8">
        <f>'Отчет_ТАБЛ 1'!I122</f>
        <v>0</v>
      </c>
    </row>
    <row r="134" spans="1:7" s="125" customFormat="1" outlineLevel="1">
      <c r="A134" s="340"/>
      <c r="B134" s="121" t="s">
        <v>267</v>
      </c>
      <c r="C134" s="124" t="s">
        <v>264</v>
      </c>
      <c r="D134" s="124" t="s">
        <v>28</v>
      </c>
      <c r="E134" s="13">
        <f t="shared" si="15"/>
        <v>0</v>
      </c>
      <c r="F134" s="8">
        <f>'Отчет_ТАБЛ 1'!H124</f>
        <v>0</v>
      </c>
      <c r="G134" s="8">
        <f>'Отчет_ТАБЛ 1'!I124</f>
        <v>0</v>
      </c>
    </row>
    <row r="135" spans="1:7" s="125" customFormat="1" ht="49.5" customHeight="1" outlineLevel="1">
      <c r="A135" s="326" t="s">
        <v>72</v>
      </c>
      <c r="B135" s="328" t="s">
        <v>173</v>
      </c>
      <c r="C135" s="337" t="s">
        <v>78</v>
      </c>
      <c r="D135" s="124" t="s">
        <v>30</v>
      </c>
      <c r="E135" s="13">
        <f>G135</f>
        <v>74896.354860000007</v>
      </c>
      <c r="F135" s="8">
        <f>'Отчет_ТАБЛ 1'!H126</f>
        <v>74896.399999999994</v>
      </c>
      <c r="G135" s="8">
        <f>'Отчет_ТАБЛ 1'!I126</f>
        <v>74896.354860000007</v>
      </c>
    </row>
    <row r="136" spans="1:7" s="125" customFormat="1" outlineLevel="1">
      <c r="A136" s="327"/>
      <c r="B136" s="329"/>
      <c r="C136" s="338"/>
      <c r="D136" s="124" t="s">
        <v>28</v>
      </c>
      <c r="E136" s="13">
        <f t="shared" si="15"/>
        <v>30762.506860000001</v>
      </c>
      <c r="F136" s="9">
        <v>30762.5</v>
      </c>
      <c r="G136" s="9">
        <f>30246.39574+516.11112</f>
        <v>30762.506860000001</v>
      </c>
    </row>
    <row r="137" spans="1:7" s="125" customFormat="1" outlineLevel="1">
      <c r="A137" s="340"/>
      <c r="B137" s="330"/>
      <c r="C137" s="339"/>
      <c r="D137" s="124" t="s">
        <v>29</v>
      </c>
      <c r="E137" s="13">
        <f t="shared" si="15"/>
        <v>44133.9</v>
      </c>
      <c r="F137" s="9">
        <v>44133.9</v>
      </c>
      <c r="G137" s="9">
        <f>44133.9</f>
        <v>44133.9</v>
      </c>
    </row>
    <row r="138" spans="1:7" s="125" customFormat="1" outlineLevel="1">
      <c r="A138" s="326" t="s">
        <v>73</v>
      </c>
      <c r="B138" s="328" t="s">
        <v>196</v>
      </c>
      <c r="C138" s="337" t="s">
        <v>78</v>
      </c>
      <c r="D138" s="124" t="s">
        <v>30</v>
      </c>
      <c r="E138" s="13">
        <f t="shared" si="15"/>
        <v>117176.63478000001</v>
      </c>
      <c r="F138" s="9">
        <f>'Отчет_ТАБЛ 1'!H128</f>
        <v>162816.29999999999</v>
      </c>
      <c r="G138" s="9">
        <f>'Отчет_ТАБЛ 1'!I128</f>
        <v>117176.63478000001</v>
      </c>
    </row>
    <row r="139" spans="1:7" s="125" customFormat="1" outlineLevel="1">
      <c r="A139" s="327"/>
      <c r="B139" s="329"/>
      <c r="C139" s="338"/>
      <c r="D139" s="124" t="s">
        <v>28</v>
      </c>
      <c r="E139" s="13">
        <f t="shared" si="15"/>
        <v>13600.023070000001</v>
      </c>
      <c r="F139" s="9">
        <v>13979.2</v>
      </c>
      <c r="G139" s="9">
        <f>8096.51236+102.21307+4426.64+974.65764</f>
        <v>13600.023070000001</v>
      </c>
    </row>
    <row r="140" spans="1:7" s="125" customFormat="1" outlineLevel="1">
      <c r="A140" s="327"/>
      <c r="B140" s="329"/>
      <c r="C140" s="338"/>
      <c r="D140" s="124" t="s">
        <v>29</v>
      </c>
      <c r="E140" s="13">
        <f t="shared" si="15"/>
        <v>31207.852900000002</v>
      </c>
      <c r="F140" s="9">
        <v>54056.7</v>
      </c>
      <c r="G140" s="9">
        <f>7085+24122.8529</f>
        <v>31207.852900000002</v>
      </c>
    </row>
    <row r="141" spans="1:7" s="125" customFormat="1" outlineLevel="1">
      <c r="A141" s="327"/>
      <c r="B141" s="329"/>
      <c r="C141" s="338"/>
      <c r="D141" s="124" t="s">
        <v>31</v>
      </c>
      <c r="E141" s="13">
        <f t="shared" si="15"/>
        <v>72368.758809999999</v>
      </c>
      <c r="F141" s="9">
        <v>94780.4</v>
      </c>
      <c r="G141" s="9">
        <f>72368.55881+0.2</f>
        <v>72368.758809999999</v>
      </c>
    </row>
    <row r="142" spans="1:7" s="125" customFormat="1" ht="47.25" outlineLevel="1">
      <c r="A142" s="26" t="s">
        <v>74</v>
      </c>
      <c r="B142" s="56" t="s">
        <v>174</v>
      </c>
      <c r="C142" s="124" t="s">
        <v>33</v>
      </c>
      <c r="D142" s="124" t="s">
        <v>29</v>
      </c>
      <c r="E142" s="13">
        <f t="shared" si="15"/>
        <v>2074412.2000000002</v>
      </c>
      <c r="F142" s="8">
        <f>'Отчет_ТАБЛ 1'!H130</f>
        <v>2074412.2</v>
      </c>
      <c r="G142" s="8">
        <f>'Отчет_ТАБЛ 1'!I130</f>
        <v>2074412.2000000002</v>
      </c>
    </row>
    <row r="143" spans="1:7" s="125" customFormat="1" ht="47.25" outlineLevel="1">
      <c r="A143" s="26" t="s">
        <v>75</v>
      </c>
      <c r="B143" s="56" t="s">
        <v>175</v>
      </c>
      <c r="C143" s="124" t="s">
        <v>33</v>
      </c>
      <c r="D143" s="124" t="s">
        <v>29</v>
      </c>
      <c r="E143" s="13">
        <f>G143</f>
        <v>19908.657670000001</v>
      </c>
      <c r="F143" s="8">
        <f>'Отчет_ТАБЛ 1'!H133</f>
        <v>19942.5</v>
      </c>
      <c r="G143" s="8">
        <f>'Отчет_ТАБЛ 1'!I133</f>
        <v>19908.657670000001</v>
      </c>
    </row>
    <row r="144" spans="1:7" s="125" customFormat="1" outlineLevel="1">
      <c r="A144" s="326" t="s">
        <v>76</v>
      </c>
      <c r="B144" s="328" t="s">
        <v>55</v>
      </c>
      <c r="C144" s="337" t="s">
        <v>260</v>
      </c>
      <c r="D144" s="124" t="s">
        <v>30</v>
      </c>
      <c r="E144" s="13">
        <f t="shared" si="15"/>
        <v>85570.447</v>
      </c>
      <c r="F144" s="9">
        <f>'Отчет_ТАБЛ 1'!H137</f>
        <v>85570.4</v>
      </c>
      <c r="G144" s="9">
        <f>'Отчет_ТАБЛ 1'!I137</f>
        <v>85570.447</v>
      </c>
    </row>
    <row r="145" spans="1:7" s="125" customFormat="1" outlineLevel="1">
      <c r="A145" s="327"/>
      <c r="B145" s="329"/>
      <c r="C145" s="338"/>
      <c r="D145" s="124" t="s">
        <v>28</v>
      </c>
      <c r="E145" s="13">
        <f t="shared" si="15"/>
        <v>12345.783959999999</v>
      </c>
      <c r="F145" s="8">
        <v>12345.8</v>
      </c>
      <c r="G145" s="8">
        <f>12099.29496+246.489</f>
        <v>12345.783959999999</v>
      </c>
    </row>
    <row r="146" spans="1:7" s="125" customFormat="1" outlineLevel="1">
      <c r="A146" s="340"/>
      <c r="B146" s="330"/>
      <c r="C146" s="339"/>
      <c r="D146" s="124" t="s">
        <v>29</v>
      </c>
      <c r="E146" s="13">
        <f t="shared" si="15"/>
        <v>73224.563039999994</v>
      </c>
      <c r="F146" s="8">
        <v>73224.600000000006</v>
      </c>
      <c r="G146" s="8">
        <f>71719.42004+1505.143</f>
        <v>73224.563039999994</v>
      </c>
    </row>
    <row r="147" spans="1:7" s="125" customFormat="1" ht="31.5" outlineLevel="1">
      <c r="A147" s="26" t="s">
        <v>77</v>
      </c>
      <c r="B147" s="56" t="s">
        <v>176</v>
      </c>
      <c r="C147" s="124" t="s">
        <v>78</v>
      </c>
      <c r="D147" s="124" t="s">
        <v>29</v>
      </c>
      <c r="E147" s="13">
        <f t="shared" si="15"/>
        <v>68500</v>
      </c>
      <c r="F147" s="8">
        <f>'Отчет_ТАБЛ 1'!H139</f>
        <v>68500</v>
      </c>
      <c r="G147" s="8">
        <f>'Отчет_ТАБЛ 1'!I139</f>
        <v>68500</v>
      </c>
    </row>
    <row r="148" spans="1:7" s="125" customFormat="1" ht="31.5" outlineLevel="1">
      <c r="A148" s="26" t="s">
        <v>177</v>
      </c>
      <c r="B148" s="56" t="s">
        <v>178</v>
      </c>
      <c r="C148" s="124" t="s">
        <v>264</v>
      </c>
      <c r="D148" s="124" t="s">
        <v>29</v>
      </c>
      <c r="E148" s="13">
        <f>G148</f>
        <v>100000</v>
      </c>
      <c r="F148" s="8">
        <f>'Отчет_ТАБЛ 1'!H141</f>
        <v>100000</v>
      </c>
      <c r="G148" s="8">
        <f>'Отчет_ТАБЛ 1'!I141</f>
        <v>100000</v>
      </c>
    </row>
    <row r="149" spans="1:7" s="125" customFormat="1" ht="47.25" outlineLevel="1">
      <c r="A149" s="26" t="s">
        <v>179</v>
      </c>
      <c r="B149" s="56" t="s">
        <v>94</v>
      </c>
      <c r="C149" s="124" t="s">
        <v>78</v>
      </c>
      <c r="D149" s="124" t="s">
        <v>29</v>
      </c>
      <c r="E149" s="13">
        <f t="shared" si="15"/>
        <v>26380.62629</v>
      </c>
      <c r="F149" s="8">
        <f>'Отчет_ТАБЛ 1'!H143</f>
        <v>26964.400000000001</v>
      </c>
      <c r="G149" s="8">
        <f>'Отчет_ТАБЛ 1'!I143</f>
        <v>26380.62629</v>
      </c>
    </row>
    <row r="150" spans="1:7" s="125" customFormat="1" ht="47.25" outlineLevel="1">
      <c r="A150" s="26" t="s">
        <v>180</v>
      </c>
      <c r="B150" s="56" t="s">
        <v>187</v>
      </c>
      <c r="C150" s="124" t="s">
        <v>78</v>
      </c>
      <c r="D150" s="124" t="s">
        <v>31</v>
      </c>
      <c r="E150" s="13">
        <f t="shared" si="15"/>
        <v>74529.399999999994</v>
      </c>
      <c r="F150" s="8">
        <f>'Отчет_ТАБЛ 1'!H145</f>
        <v>77598.399999999994</v>
      </c>
      <c r="G150" s="8">
        <f>'Отчет_ТАБЛ 1'!I145</f>
        <v>74529.399999999994</v>
      </c>
    </row>
    <row r="151" spans="1:7" s="125" customFormat="1" ht="47.25" outlineLevel="1">
      <c r="A151" s="26" t="s">
        <v>181</v>
      </c>
      <c r="B151" s="56" t="s">
        <v>185</v>
      </c>
      <c r="C151" s="124" t="s">
        <v>78</v>
      </c>
      <c r="D151" s="124" t="s">
        <v>29</v>
      </c>
      <c r="E151" s="13">
        <f t="shared" si="15"/>
        <v>6042.3</v>
      </c>
      <c r="F151" s="8">
        <f>'Отчет_ТАБЛ 1'!H147</f>
        <v>6042.3</v>
      </c>
      <c r="G151" s="8">
        <f>'Отчет_ТАБЛ 1'!I147</f>
        <v>6042.3</v>
      </c>
    </row>
    <row r="152" spans="1:7" s="125" customFormat="1" outlineLevel="1">
      <c r="A152" s="326" t="s">
        <v>182</v>
      </c>
      <c r="B152" s="328" t="s">
        <v>184</v>
      </c>
      <c r="C152" s="337" t="s">
        <v>78</v>
      </c>
      <c r="D152" s="124" t="s">
        <v>30</v>
      </c>
      <c r="E152" s="13">
        <f t="shared" si="15"/>
        <v>44852.421869999998</v>
      </c>
      <c r="F152" s="8">
        <f>'Отчет_ТАБЛ 1'!H149</f>
        <v>48194.3</v>
      </c>
      <c r="G152" s="8">
        <f>'Отчет_ТАБЛ 1'!I149</f>
        <v>44852.421869999998</v>
      </c>
    </row>
    <row r="153" spans="1:7" s="125" customFormat="1" outlineLevel="1">
      <c r="A153" s="327"/>
      <c r="B153" s="329"/>
      <c r="C153" s="338"/>
      <c r="D153" s="124" t="s">
        <v>28</v>
      </c>
      <c r="E153" s="13">
        <f t="shared" si="15"/>
        <v>6727.8213999999998</v>
      </c>
      <c r="F153" s="9">
        <v>7229.1</v>
      </c>
      <c r="G153" s="9">
        <v>6727.8213999999998</v>
      </c>
    </row>
    <row r="154" spans="1:7" s="125" customFormat="1" outlineLevel="1">
      <c r="A154" s="327"/>
      <c r="B154" s="329"/>
      <c r="C154" s="338"/>
      <c r="D154" s="124" t="s">
        <v>29</v>
      </c>
      <c r="E154" s="13">
        <f t="shared" si="15"/>
        <v>9531.1755099999991</v>
      </c>
      <c r="F154" s="9">
        <v>10241.299999999999</v>
      </c>
      <c r="G154" s="9">
        <v>9531.1755099999991</v>
      </c>
    </row>
    <row r="155" spans="1:7" s="125" customFormat="1" outlineLevel="1">
      <c r="A155" s="340"/>
      <c r="B155" s="330"/>
      <c r="C155" s="339"/>
      <c r="D155" s="124" t="s">
        <v>31</v>
      </c>
      <c r="E155" s="13">
        <f t="shared" si="15"/>
        <v>28593.42496</v>
      </c>
      <c r="F155" s="9">
        <v>30723.9</v>
      </c>
      <c r="G155" s="9">
        <v>28593.42496</v>
      </c>
    </row>
    <row r="156" spans="1:7" ht="18.75" customHeight="1">
      <c r="A156" s="375" t="s">
        <v>21</v>
      </c>
      <c r="B156" s="319" t="s">
        <v>80</v>
      </c>
      <c r="C156" s="354"/>
      <c r="D156" s="119" t="s">
        <v>30</v>
      </c>
      <c r="E156" s="13">
        <f>G156</f>
        <v>8389.8585800000001</v>
      </c>
      <c r="F156" s="8">
        <f>'Отчет_ТАБЛ 1'!H151</f>
        <v>13378.5</v>
      </c>
      <c r="G156" s="8">
        <f>'Отчет_ТАБЛ 1'!I151</f>
        <v>8389.8585800000001</v>
      </c>
    </row>
    <row r="157" spans="1:7">
      <c r="A157" s="354"/>
      <c r="B157" s="319"/>
      <c r="C157" s="354"/>
      <c r="D157" s="119" t="s">
        <v>28</v>
      </c>
      <c r="E157" s="13">
        <f t="shared" si="15"/>
        <v>1880.79511</v>
      </c>
      <c r="F157" s="8">
        <f>F161+F164</f>
        <v>2700</v>
      </c>
      <c r="G157" s="8">
        <f>G161+G164</f>
        <v>1880.79511</v>
      </c>
    </row>
    <row r="158" spans="1:7">
      <c r="A158" s="354"/>
      <c r="B158" s="319"/>
      <c r="C158" s="354"/>
      <c r="D158" s="119" t="s">
        <v>29</v>
      </c>
      <c r="E158" s="13">
        <f t="shared" si="15"/>
        <v>6509.0634700000001</v>
      </c>
      <c r="F158" s="8">
        <f t="shared" ref="F158:G158" si="17">F162+F165</f>
        <v>10678.5</v>
      </c>
      <c r="G158" s="8">
        <f t="shared" si="17"/>
        <v>6509.0634700000001</v>
      </c>
    </row>
    <row r="159" spans="1:7">
      <c r="A159" s="376"/>
      <c r="B159" s="320"/>
      <c r="C159" s="354"/>
      <c r="D159" s="119" t="s">
        <v>31</v>
      </c>
      <c r="E159" s="13">
        <f t="shared" si="15"/>
        <v>0</v>
      </c>
      <c r="F159" s="8">
        <f>F166</f>
        <v>0</v>
      </c>
      <c r="G159" s="8">
        <f>G166</f>
        <v>0</v>
      </c>
    </row>
    <row r="160" spans="1:7" s="125" customFormat="1" ht="37.5" customHeight="1" outlineLevel="1">
      <c r="A160" s="326" t="s">
        <v>58</v>
      </c>
      <c r="B160" s="328" t="s">
        <v>198</v>
      </c>
      <c r="C160" s="350" t="s">
        <v>33</v>
      </c>
      <c r="D160" s="124" t="s">
        <v>30</v>
      </c>
      <c r="E160" s="13">
        <f t="shared" si="15"/>
        <v>8389.8585800000001</v>
      </c>
      <c r="F160" s="8">
        <f>'Отчет_ТАБЛ 1'!H152</f>
        <v>13378.5</v>
      </c>
      <c r="G160" s="8">
        <f>'Отчет_ТАБЛ 1'!I152</f>
        <v>8389.8585800000001</v>
      </c>
    </row>
    <row r="161" spans="1:7" s="125" customFormat="1" outlineLevel="1">
      <c r="A161" s="327"/>
      <c r="B161" s="329"/>
      <c r="C161" s="350"/>
      <c r="D161" s="124" t="s">
        <v>28</v>
      </c>
      <c r="E161" s="13">
        <f t="shared" si="15"/>
        <v>1880.79511</v>
      </c>
      <c r="F161" s="8">
        <v>2700</v>
      </c>
      <c r="G161" s="8">
        <v>1880.79511</v>
      </c>
    </row>
    <row r="162" spans="1:7" s="125" customFormat="1" outlineLevel="1">
      <c r="A162" s="340"/>
      <c r="B162" s="330"/>
      <c r="C162" s="350"/>
      <c r="D162" s="124" t="s">
        <v>29</v>
      </c>
      <c r="E162" s="13">
        <f t="shared" si="15"/>
        <v>6509.0634700000001</v>
      </c>
      <c r="F162" s="8">
        <v>10678.5</v>
      </c>
      <c r="G162" s="8">
        <v>6509.0634700000001</v>
      </c>
    </row>
    <row r="163" spans="1:7" s="125" customFormat="1" outlineLevel="1">
      <c r="A163" s="326" t="s">
        <v>57</v>
      </c>
      <c r="B163" s="328" t="s">
        <v>200</v>
      </c>
      <c r="C163" s="337" t="s">
        <v>268</v>
      </c>
      <c r="D163" s="124" t="s">
        <v>30</v>
      </c>
      <c r="E163" s="13">
        <f t="shared" si="15"/>
        <v>0</v>
      </c>
      <c r="F163" s="8">
        <f>'Отчет_ТАБЛ 1'!H154</f>
        <v>0</v>
      </c>
      <c r="G163" s="8">
        <f>'Отчет_ТАБЛ 1'!I154</f>
        <v>0</v>
      </c>
    </row>
    <row r="164" spans="1:7" s="125" customFormat="1" outlineLevel="1">
      <c r="A164" s="327"/>
      <c r="B164" s="329"/>
      <c r="C164" s="338"/>
      <c r="D164" s="124" t="s">
        <v>28</v>
      </c>
      <c r="E164" s="13">
        <f t="shared" si="15"/>
        <v>0</v>
      </c>
      <c r="F164" s="8">
        <f>F168+F172</f>
        <v>0</v>
      </c>
      <c r="G164" s="8">
        <f>G168+G172</f>
        <v>0</v>
      </c>
    </row>
    <row r="165" spans="1:7" s="125" customFormat="1" outlineLevel="1">
      <c r="A165" s="327"/>
      <c r="B165" s="329"/>
      <c r="C165" s="338"/>
      <c r="D165" s="124" t="s">
        <v>29</v>
      </c>
      <c r="E165" s="13">
        <f t="shared" si="15"/>
        <v>0</v>
      </c>
      <c r="F165" s="8">
        <f t="shared" ref="F165:G166" si="18">F169+F173</f>
        <v>0</v>
      </c>
      <c r="G165" s="8">
        <f t="shared" si="18"/>
        <v>0</v>
      </c>
    </row>
    <row r="166" spans="1:7" s="125" customFormat="1" outlineLevel="1">
      <c r="A166" s="340"/>
      <c r="B166" s="330"/>
      <c r="C166" s="339"/>
      <c r="D166" s="124" t="s">
        <v>31</v>
      </c>
      <c r="E166" s="13">
        <f t="shared" si="15"/>
        <v>0</v>
      </c>
      <c r="F166" s="8">
        <f t="shared" si="18"/>
        <v>0</v>
      </c>
      <c r="G166" s="8">
        <f t="shared" si="18"/>
        <v>0</v>
      </c>
    </row>
    <row r="167" spans="1:7" s="125" customFormat="1" outlineLevel="1">
      <c r="A167" s="326" t="s">
        <v>202</v>
      </c>
      <c r="B167" s="328" t="str">
        <f>'Отчет_ТАБЛ 1'!B156</f>
        <v>приобретение екжилого отдельно стоящего здания. С целью ликвидации второй смены в общеобразовательных организациях в г. Оренбурге, Северо-Востоном жилом районе (приобретение школы на 1135 учащихся)</v>
      </c>
      <c r="C167" s="337" t="s">
        <v>32</v>
      </c>
      <c r="D167" s="124" t="s">
        <v>30</v>
      </c>
      <c r="E167" s="13">
        <f t="shared" si="15"/>
        <v>0</v>
      </c>
      <c r="F167" s="8">
        <f>'Отчет_ТАБЛ 1'!H156</f>
        <v>0</v>
      </c>
      <c r="G167" s="8">
        <f>'Отчет_ТАБЛ 1'!I156</f>
        <v>0</v>
      </c>
    </row>
    <row r="168" spans="1:7" s="125" customFormat="1" outlineLevel="1">
      <c r="A168" s="327"/>
      <c r="B168" s="329"/>
      <c r="C168" s="338"/>
      <c r="D168" s="124" t="s">
        <v>28</v>
      </c>
      <c r="E168" s="13">
        <f>G168</f>
        <v>0</v>
      </c>
      <c r="F168" s="8">
        <v>0</v>
      </c>
      <c r="G168" s="8">
        <v>0</v>
      </c>
    </row>
    <row r="169" spans="1:7" s="125" customFormat="1" outlineLevel="1">
      <c r="A169" s="327"/>
      <c r="B169" s="329"/>
      <c r="C169" s="338"/>
      <c r="D169" s="124" t="s">
        <v>29</v>
      </c>
      <c r="E169" s="13">
        <f t="shared" si="15"/>
        <v>0</v>
      </c>
      <c r="F169" s="8">
        <v>0</v>
      </c>
      <c r="G169" s="8">
        <v>0</v>
      </c>
    </row>
    <row r="170" spans="1:7" s="125" customFormat="1" outlineLevel="1">
      <c r="A170" s="340"/>
      <c r="B170" s="330"/>
      <c r="C170" s="339"/>
      <c r="D170" s="124" t="s">
        <v>31</v>
      </c>
      <c r="E170" s="13">
        <f t="shared" si="15"/>
        <v>0</v>
      </c>
      <c r="F170" s="8">
        <v>0</v>
      </c>
      <c r="G170" s="8">
        <v>0</v>
      </c>
    </row>
    <row r="171" spans="1:7" s="125" customFormat="1" outlineLevel="1">
      <c r="A171" s="349" t="s">
        <v>204</v>
      </c>
      <c r="B171" s="351" t="s">
        <v>203</v>
      </c>
      <c r="C171" s="337" t="s">
        <v>70</v>
      </c>
      <c r="D171" s="124" t="s">
        <v>30</v>
      </c>
      <c r="E171" s="13">
        <f>G171</f>
        <v>0</v>
      </c>
      <c r="F171" s="8">
        <f>'Отчет_ТАБЛ 1'!H158</f>
        <v>0</v>
      </c>
      <c r="G171" s="8">
        <f>'Отчет_ТАБЛ 1'!I158</f>
        <v>0</v>
      </c>
    </row>
    <row r="172" spans="1:7" s="125" customFormat="1" outlineLevel="1">
      <c r="A172" s="349"/>
      <c r="B172" s="351"/>
      <c r="C172" s="338"/>
      <c r="D172" s="124" t="s">
        <v>28</v>
      </c>
      <c r="E172" s="13">
        <f t="shared" si="15"/>
        <v>0</v>
      </c>
      <c r="F172" s="8">
        <v>0</v>
      </c>
      <c r="G172" s="8">
        <v>0</v>
      </c>
    </row>
    <row r="173" spans="1:7" s="125" customFormat="1" outlineLevel="1">
      <c r="A173" s="349"/>
      <c r="B173" s="351"/>
      <c r="C173" s="338"/>
      <c r="D173" s="124" t="s">
        <v>29</v>
      </c>
      <c r="E173" s="13">
        <f t="shared" ref="E173:E184" si="19">G173</f>
        <v>0</v>
      </c>
      <c r="F173" s="8">
        <v>0</v>
      </c>
      <c r="G173" s="8">
        <v>0</v>
      </c>
    </row>
    <row r="174" spans="1:7" s="125" customFormat="1" outlineLevel="1">
      <c r="A174" s="349"/>
      <c r="B174" s="351"/>
      <c r="C174" s="339"/>
      <c r="D174" s="124" t="s">
        <v>31</v>
      </c>
      <c r="E174" s="13">
        <f t="shared" si="19"/>
        <v>0</v>
      </c>
      <c r="F174" s="8">
        <v>0</v>
      </c>
      <c r="G174" s="8">
        <v>0</v>
      </c>
    </row>
    <row r="175" spans="1:7" ht="18.75" customHeight="1">
      <c r="A175" s="375" t="s">
        <v>22</v>
      </c>
      <c r="B175" s="319" t="s">
        <v>81</v>
      </c>
      <c r="C175" s="335" t="s">
        <v>78</v>
      </c>
      <c r="D175" s="119" t="s">
        <v>30</v>
      </c>
      <c r="E175" s="13">
        <f t="shared" si="19"/>
        <v>1176.5</v>
      </c>
      <c r="F175" s="8">
        <f>'Отчет_ТАБЛ 1'!H160</f>
        <v>1176.5</v>
      </c>
      <c r="G175" s="8">
        <f>'Отчет_ТАБЛ 1'!I160</f>
        <v>1176.5</v>
      </c>
    </row>
    <row r="176" spans="1:7">
      <c r="A176" s="354"/>
      <c r="B176" s="319"/>
      <c r="C176" s="335"/>
      <c r="D176" s="119" t="s">
        <v>28</v>
      </c>
      <c r="E176" s="13">
        <f t="shared" si="19"/>
        <v>176.50000000000003</v>
      </c>
      <c r="F176" s="8">
        <v>176.5</v>
      </c>
      <c r="G176" s="8">
        <f>0.758+174.00915+1.73285</f>
        <v>176.50000000000003</v>
      </c>
    </row>
    <row r="177" spans="1:7">
      <c r="A177" s="354"/>
      <c r="B177" s="319"/>
      <c r="C177" s="335"/>
      <c r="D177" s="119" t="s">
        <v>29</v>
      </c>
      <c r="E177" s="13">
        <f t="shared" si="19"/>
        <v>1000</v>
      </c>
      <c r="F177" s="8">
        <v>1000</v>
      </c>
      <c r="G177" s="8">
        <f>986.05185+13.94815</f>
        <v>1000</v>
      </c>
    </row>
    <row r="178" spans="1:7">
      <c r="A178" s="376"/>
      <c r="B178" s="320"/>
      <c r="C178" s="335"/>
      <c r="D178" s="119" t="s">
        <v>31</v>
      </c>
      <c r="E178" s="13">
        <f t="shared" si="19"/>
        <v>0</v>
      </c>
      <c r="F178" s="8">
        <v>0</v>
      </c>
      <c r="G178" s="8">
        <v>0</v>
      </c>
    </row>
    <row r="179" spans="1:7" ht="18.75" customHeight="1">
      <c r="A179" s="375" t="s">
        <v>23</v>
      </c>
      <c r="B179" s="319" t="s">
        <v>207</v>
      </c>
      <c r="C179" s="342" t="s">
        <v>78</v>
      </c>
      <c r="D179" s="119" t="s">
        <v>30</v>
      </c>
      <c r="E179" s="13">
        <f t="shared" si="19"/>
        <v>2538.2660000000001</v>
      </c>
      <c r="F179" s="8">
        <f>'Отчет_ТАБЛ 1'!H164</f>
        <v>2595.9</v>
      </c>
      <c r="G179" s="8">
        <f>'Отчет_ТАБЛ 1'!I164</f>
        <v>2538.2660000000001</v>
      </c>
    </row>
    <row r="180" spans="1:7">
      <c r="A180" s="354"/>
      <c r="B180" s="319"/>
      <c r="C180" s="342"/>
      <c r="D180" s="119" t="s">
        <v>28</v>
      </c>
      <c r="E180" s="13">
        <f t="shared" si="19"/>
        <v>380.76495</v>
      </c>
      <c r="F180" s="8">
        <f t="shared" ref="F180:G182" si="20">F184</f>
        <v>389.4</v>
      </c>
      <c r="G180" s="8">
        <f t="shared" si="20"/>
        <v>380.76495</v>
      </c>
    </row>
    <row r="181" spans="1:7">
      <c r="A181" s="354"/>
      <c r="B181" s="319"/>
      <c r="C181" s="342"/>
      <c r="D181" s="119" t="s">
        <v>29</v>
      </c>
      <c r="E181" s="13">
        <f t="shared" si="19"/>
        <v>1826.4008100000001</v>
      </c>
      <c r="F181" s="8">
        <f t="shared" si="20"/>
        <v>1875.4</v>
      </c>
      <c r="G181" s="8">
        <f t="shared" si="20"/>
        <v>1826.4008100000001</v>
      </c>
    </row>
    <row r="182" spans="1:7">
      <c r="A182" s="376"/>
      <c r="B182" s="320"/>
      <c r="C182" s="342"/>
      <c r="D182" s="119" t="s">
        <v>31</v>
      </c>
      <c r="E182" s="13">
        <f t="shared" si="19"/>
        <v>331.10023999999999</v>
      </c>
      <c r="F182" s="8">
        <f t="shared" si="20"/>
        <v>331.1</v>
      </c>
      <c r="G182" s="8">
        <f t="shared" si="20"/>
        <v>331.10023999999999</v>
      </c>
    </row>
    <row r="183" spans="1:7">
      <c r="A183" s="375" t="s">
        <v>206</v>
      </c>
      <c r="B183" s="318" t="s">
        <v>208</v>
      </c>
      <c r="C183" s="335" t="s">
        <v>78</v>
      </c>
      <c r="D183" s="119" t="s">
        <v>30</v>
      </c>
      <c r="E183" s="13">
        <f>G183</f>
        <v>2538.2660000000001</v>
      </c>
      <c r="F183" s="8">
        <f>'Отчет_ТАБЛ 1'!H165</f>
        <v>2595.9</v>
      </c>
      <c r="G183" s="8">
        <f>'Отчет_ТАБЛ 1'!I165</f>
        <v>2538.2660000000001</v>
      </c>
    </row>
    <row r="184" spans="1:7">
      <c r="A184" s="354"/>
      <c r="B184" s="319"/>
      <c r="C184" s="335"/>
      <c r="D184" s="119" t="s">
        <v>28</v>
      </c>
      <c r="E184" s="13">
        <f t="shared" si="19"/>
        <v>380.76495</v>
      </c>
      <c r="F184" s="8">
        <v>389.4</v>
      </c>
      <c r="G184" s="8">
        <f>77.906+302.85895</f>
        <v>380.76495</v>
      </c>
    </row>
    <row r="185" spans="1:7">
      <c r="A185" s="354"/>
      <c r="B185" s="319"/>
      <c r="C185" s="335"/>
      <c r="D185" s="119" t="s">
        <v>29</v>
      </c>
      <c r="E185" s="13">
        <f>G185</f>
        <v>1826.4008100000001</v>
      </c>
      <c r="F185" s="8">
        <v>1875.4</v>
      </c>
      <c r="G185" s="8">
        <f>110.36676+1716.03405</f>
        <v>1826.4008100000001</v>
      </c>
    </row>
    <row r="186" spans="1:7">
      <c r="A186" s="376"/>
      <c r="B186" s="320"/>
      <c r="C186" s="335"/>
      <c r="D186" s="119" t="s">
        <v>31</v>
      </c>
      <c r="E186" s="13">
        <f t="shared" ref="E186:E196" si="21">G186</f>
        <v>331.10023999999999</v>
      </c>
      <c r="F186" s="8">
        <v>331.1</v>
      </c>
      <c r="G186" s="8">
        <v>331.10023999999999</v>
      </c>
    </row>
    <row r="187" spans="1:7">
      <c r="A187" s="343" t="s">
        <v>269</v>
      </c>
      <c r="B187" s="344"/>
      <c r="C187" s="367"/>
      <c r="D187" s="119" t="s">
        <v>30</v>
      </c>
      <c r="E187" s="13">
        <f t="shared" si="21"/>
        <v>4079719.1433800003</v>
      </c>
      <c r="F187" s="8">
        <f>SUM(F188:F190)</f>
        <v>4144810.0999999992</v>
      </c>
      <c r="G187" s="8">
        <f>SUM(G188:G190)</f>
        <v>4079719.1433800003</v>
      </c>
    </row>
    <row r="188" spans="1:7">
      <c r="A188" s="345"/>
      <c r="B188" s="346"/>
      <c r="C188" s="368"/>
      <c r="D188" s="119" t="s">
        <v>28</v>
      </c>
      <c r="E188" s="13">
        <f t="shared" si="21"/>
        <v>1441219.7196800001</v>
      </c>
      <c r="F188" s="8">
        <f>F192+F196+F200</f>
        <v>1450304.5</v>
      </c>
      <c r="G188" s="8">
        <f>G192+G196+G200</f>
        <v>1441219.7196800001</v>
      </c>
    </row>
    <row r="189" spans="1:7">
      <c r="A189" s="345"/>
      <c r="B189" s="346"/>
      <c r="C189" s="368"/>
      <c r="D189" s="119" t="s">
        <v>29</v>
      </c>
      <c r="E189" s="13">
        <f t="shared" si="21"/>
        <v>2462676.7396900002</v>
      </c>
      <c r="F189" s="8">
        <f t="shared" ref="F189:F190" si="22">F193+F197+F201</f>
        <v>2491071.7999999993</v>
      </c>
      <c r="G189" s="8">
        <f t="shared" ref="G189" si="23">G193+G197+G201</f>
        <v>2462676.7396900002</v>
      </c>
    </row>
    <row r="190" spans="1:7">
      <c r="A190" s="345"/>
      <c r="B190" s="346"/>
      <c r="C190" s="369"/>
      <c r="D190" s="119" t="s">
        <v>31</v>
      </c>
      <c r="E190" s="13">
        <f t="shared" si="21"/>
        <v>175822.68401</v>
      </c>
      <c r="F190" s="8">
        <f t="shared" si="22"/>
        <v>203433.8</v>
      </c>
      <c r="G190" s="8">
        <f t="shared" ref="G190" si="24">G194+G198+G202</f>
        <v>175822.68401</v>
      </c>
    </row>
    <row r="191" spans="1:7">
      <c r="A191" s="345"/>
      <c r="B191" s="346"/>
      <c r="C191" s="344" t="s">
        <v>260</v>
      </c>
      <c r="D191" s="119" t="s">
        <v>30</v>
      </c>
      <c r="E191" s="13">
        <f t="shared" si="21"/>
        <v>4078892.3549800003</v>
      </c>
      <c r="F191" s="8">
        <f>SUM(F192:F194)</f>
        <v>4143758.0999999992</v>
      </c>
      <c r="G191" s="8">
        <f>SUM(G192:G194)</f>
        <v>4078892.3549800003</v>
      </c>
    </row>
    <row r="192" spans="1:7">
      <c r="A192" s="345"/>
      <c r="B192" s="346"/>
      <c r="C192" s="346"/>
      <c r="D192" s="119" t="s">
        <v>28</v>
      </c>
      <c r="E192" s="13">
        <f t="shared" si="21"/>
        <v>1440392.9312800001</v>
      </c>
      <c r="F192" s="8">
        <f>F112+F161+F176+F180</f>
        <v>1449252.5</v>
      </c>
      <c r="G192" s="8">
        <f>G112+G161+G176+G180</f>
        <v>1440392.9312800001</v>
      </c>
    </row>
    <row r="193" spans="1:7">
      <c r="A193" s="345"/>
      <c r="B193" s="346"/>
      <c r="C193" s="346"/>
      <c r="D193" s="119" t="s">
        <v>29</v>
      </c>
      <c r="E193" s="13">
        <f t="shared" si="21"/>
        <v>2462676.7396900002</v>
      </c>
      <c r="F193" s="8">
        <f t="shared" ref="F193:G193" si="25">F113+F162+F177+F181</f>
        <v>2491071.7999999993</v>
      </c>
      <c r="G193" s="8">
        <f t="shared" si="25"/>
        <v>2462676.7396900002</v>
      </c>
    </row>
    <row r="194" spans="1:7">
      <c r="A194" s="345"/>
      <c r="B194" s="346"/>
      <c r="C194" s="348"/>
      <c r="D194" s="119" t="s">
        <v>31</v>
      </c>
      <c r="E194" s="13">
        <f t="shared" si="21"/>
        <v>175822.68401</v>
      </c>
      <c r="F194" s="8">
        <f>F114+F178+F182</f>
        <v>203433.8</v>
      </c>
      <c r="G194" s="8">
        <f>G114+G178+G182</f>
        <v>175822.68401</v>
      </c>
    </row>
    <row r="195" spans="1:7">
      <c r="A195" s="345"/>
      <c r="B195" s="346"/>
      <c r="C195" s="334" t="s">
        <v>32</v>
      </c>
      <c r="D195" s="119" t="s">
        <v>30</v>
      </c>
      <c r="E195" s="13">
        <f t="shared" si="21"/>
        <v>0</v>
      </c>
      <c r="F195" s="8">
        <f>SUM(F196:F198)</f>
        <v>0</v>
      </c>
      <c r="G195" s="8">
        <f>SUM(G196:G198)</f>
        <v>0</v>
      </c>
    </row>
    <row r="196" spans="1:7">
      <c r="A196" s="345"/>
      <c r="B196" s="346"/>
      <c r="C196" s="335"/>
      <c r="D196" s="119" t="s">
        <v>28</v>
      </c>
      <c r="E196" s="13">
        <f t="shared" si="21"/>
        <v>0</v>
      </c>
      <c r="F196" s="8">
        <f>F168</f>
        <v>0</v>
      </c>
      <c r="G196" s="8">
        <f>G168</f>
        <v>0</v>
      </c>
    </row>
    <row r="197" spans="1:7">
      <c r="A197" s="345"/>
      <c r="B197" s="346"/>
      <c r="C197" s="335"/>
      <c r="D197" s="119" t="s">
        <v>29</v>
      </c>
      <c r="E197" s="13">
        <f>G197</f>
        <v>0</v>
      </c>
      <c r="F197" s="8">
        <f t="shared" ref="F197:G198" si="26">F169</f>
        <v>0</v>
      </c>
      <c r="G197" s="8">
        <f t="shared" si="26"/>
        <v>0</v>
      </c>
    </row>
    <row r="198" spans="1:7">
      <c r="A198" s="345"/>
      <c r="B198" s="346"/>
      <c r="C198" s="336"/>
      <c r="D198" s="119" t="s">
        <v>31</v>
      </c>
      <c r="E198" s="13">
        <f t="shared" ref="E198:E202" si="27">G198</f>
        <v>0</v>
      </c>
      <c r="F198" s="8">
        <f t="shared" si="26"/>
        <v>0</v>
      </c>
      <c r="G198" s="8">
        <f t="shared" si="26"/>
        <v>0</v>
      </c>
    </row>
    <row r="199" spans="1:7">
      <c r="A199" s="345"/>
      <c r="B199" s="346"/>
      <c r="C199" s="334" t="s">
        <v>70</v>
      </c>
      <c r="D199" s="119" t="s">
        <v>30</v>
      </c>
      <c r="E199" s="13">
        <f t="shared" si="27"/>
        <v>826.78840000000002</v>
      </c>
      <c r="F199" s="8">
        <f>SUM(F200:F202)</f>
        <v>1052</v>
      </c>
      <c r="G199" s="8">
        <f>SUM(G200:G202)</f>
        <v>826.78840000000002</v>
      </c>
    </row>
    <row r="200" spans="1:7">
      <c r="A200" s="345"/>
      <c r="B200" s="346"/>
      <c r="C200" s="335"/>
      <c r="D200" s="119" t="s">
        <v>28</v>
      </c>
      <c r="E200" s="13">
        <f t="shared" si="27"/>
        <v>826.78840000000002</v>
      </c>
      <c r="F200" s="8">
        <f>F115+F172</f>
        <v>1052</v>
      </c>
      <c r="G200" s="8">
        <f>G115+G172</f>
        <v>826.78840000000002</v>
      </c>
    </row>
    <row r="201" spans="1:7">
      <c r="A201" s="345"/>
      <c r="B201" s="346"/>
      <c r="C201" s="335"/>
      <c r="D201" s="119" t="s">
        <v>29</v>
      </c>
      <c r="E201" s="13">
        <f t="shared" si="27"/>
        <v>0</v>
      </c>
      <c r="F201" s="8">
        <f>F173</f>
        <v>0</v>
      </c>
      <c r="G201" s="8">
        <f>G173</f>
        <v>0</v>
      </c>
    </row>
    <row r="202" spans="1:7">
      <c r="A202" s="347"/>
      <c r="B202" s="348"/>
      <c r="C202" s="336"/>
      <c r="D202" s="119" t="s">
        <v>31</v>
      </c>
      <c r="E202" s="13">
        <f t="shared" si="27"/>
        <v>0</v>
      </c>
      <c r="F202" s="8">
        <f>F174</f>
        <v>0</v>
      </c>
      <c r="G202" s="8">
        <f>G174</f>
        <v>0</v>
      </c>
    </row>
    <row r="203" spans="1:7">
      <c r="A203" s="378" t="s">
        <v>212</v>
      </c>
      <c r="B203" s="357"/>
      <c r="C203" s="357"/>
      <c r="D203" s="357"/>
      <c r="E203" s="357"/>
      <c r="F203" s="357"/>
      <c r="G203" s="358"/>
    </row>
    <row r="204" spans="1:7">
      <c r="A204" s="321" t="s">
        <v>25</v>
      </c>
      <c r="B204" s="318" t="s">
        <v>213</v>
      </c>
      <c r="C204" s="94"/>
      <c r="D204" s="119" t="s">
        <v>30</v>
      </c>
      <c r="E204" s="13">
        <f>G204</f>
        <v>43995.145700000008</v>
      </c>
      <c r="F204" s="8">
        <f>'Отчет_ТАБЛ 1'!H170</f>
        <v>43996.5</v>
      </c>
      <c r="G204" s="8">
        <f>'Отчет_ТАБЛ 1'!I170</f>
        <v>43995.145700000008</v>
      </c>
    </row>
    <row r="205" spans="1:7">
      <c r="A205" s="322"/>
      <c r="B205" s="319"/>
      <c r="C205" s="318" t="s">
        <v>270</v>
      </c>
      <c r="D205" s="119" t="s">
        <v>28</v>
      </c>
      <c r="E205" s="13">
        <f t="shared" ref="E205:E214" si="28">G205</f>
        <v>28577.903689999999</v>
      </c>
      <c r="F205" s="8">
        <f>F208+F211</f>
        <v>28579.200000000001</v>
      </c>
      <c r="G205" s="8">
        <f>G208+G211</f>
        <v>28577.903689999999</v>
      </c>
    </row>
    <row r="206" spans="1:7">
      <c r="A206" s="377"/>
      <c r="B206" s="320"/>
      <c r="C206" s="320"/>
      <c r="D206" s="119" t="s">
        <v>29</v>
      </c>
      <c r="E206" s="13">
        <f t="shared" si="28"/>
        <v>15417.24201</v>
      </c>
      <c r="F206" s="8">
        <f>F209</f>
        <v>15417.3</v>
      </c>
      <c r="G206" s="8">
        <f>G209</f>
        <v>15417.24201</v>
      </c>
    </row>
    <row r="207" spans="1:7">
      <c r="A207" s="379" t="s">
        <v>60</v>
      </c>
      <c r="B207" s="353" t="s">
        <v>214</v>
      </c>
      <c r="C207" s="353" t="s">
        <v>260</v>
      </c>
      <c r="D207" s="119" t="s">
        <v>30</v>
      </c>
      <c r="E207" s="13">
        <f t="shared" si="28"/>
        <v>36346.840700000008</v>
      </c>
      <c r="F207" s="8">
        <f>'Отчет_ТАБЛ 1'!H171</f>
        <v>36348.199999999997</v>
      </c>
      <c r="G207" s="8">
        <f>'Отчет_ТАБЛ 1'!I171</f>
        <v>36346.840700000008</v>
      </c>
    </row>
    <row r="208" spans="1:7">
      <c r="A208" s="379"/>
      <c r="B208" s="353"/>
      <c r="C208" s="353"/>
      <c r="D208" s="119" t="s">
        <v>28</v>
      </c>
      <c r="E208" s="13">
        <f t="shared" si="28"/>
        <v>20929.598689999999</v>
      </c>
      <c r="F208" s="8">
        <v>20930.900000000001</v>
      </c>
      <c r="G208" s="8">
        <v>20929.598689999999</v>
      </c>
    </row>
    <row r="209" spans="1:7">
      <c r="A209" s="379"/>
      <c r="B209" s="353"/>
      <c r="C209" s="353"/>
      <c r="D209" s="119" t="s">
        <v>29</v>
      </c>
      <c r="E209" s="13">
        <f t="shared" si="28"/>
        <v>15417.24201</v>
      </c>
      <c r="F209" s="8">
        <v>15417.3</v>
      </c>
      <c r="G209" s="8">
        <f>2037+13380.24201</f>
        <v>15417.24201</v>
      </c>
    </row>
    <row r="210" spans="1:7" ht="74.25" customHeight="1">
      <c r="A210" s="96" t="s">
        <v>218</v>
      </c>
      <c r="B210" s="31" t="s">
        <v>219</v>
      </c>
      <c r="C210" s="119" t="s">
        <v>260</v>
      </c>
      <c r="D210" s="119" t="s">
        <v>29</v>
      </c>
      <c r="E210" s="13">
        <f t="shared" si="28"/>
        <v>2037</v>
      </c>
      <c r="F210" s="8">
        <f>'Отчет_ТАБЛ 1'!H175</f>
        <v>2037</v>
      </c>
      <c r="G210" s="8">
        <f>'Отчет_ТАБЛ 1'!I175</f>
        <v>2037</v>
      </c>
    </row>
    <row r="211" spans="1:7" ht="56.25" customHeight="1">
      <c r="A211" s="96" t="s">
        <v>66</v>
      </c>
      <c r="B211" s="31" t="s">
        <v>221</v>
      </c>
      <c r="C211" s="119" t="s">
        <v>271</v>
      </c>
      <c r="D211" s="119" t="s">
        <v>28</v>
      </c>
      <c r="E211" s="13">
        <f t="shared" si="28"/>
        <v>7648.3050000000003</v>
      </c>
      <c r="F211" s="8">
        <f>'Отчет_ТАБЛ 1'!H177</f>
        <v>7648.3</v>
      </c>
      <c r="G211" s="8">
        <f>'Отчет_ТАБЛ 1'!I177</f>
        <v>7648.3050000000003</v>
      </c>
    </row>
    <row r="212" spans="1:7">
      <c r="A212" s="353" t="s">
        <v>272</v>
      </c>
      <c r="B212" s="353"/>
      <c r="C212" s="318" t="s">
        <v>270</v>
      </c>
      <c r="D212" s="118" t="s">
        <v>30</v>
      </c>
      <c r="E212" s="13">
        <f t="shared" si="28"/>
        <v>43995.145700000008</v>
      </c>
      <c r="F212" s="8">
        <f t="shared" ref="F212:G214" si="29">F204</f>
        <v>43996.5</v>
      </c>
      <c r="G212" s="8">
        <f t="shared" si="29"/>
        <v>43995.145700000008</v>
      </c>
    </row>
    <row r="213" spans="1:7">
      <c r="A213" s="353"/>
      <c r="B213" s="353"/>
      <c r="C213" s="319"/>
      <c r="D213" s="119" t="s">
        <v>28</v>
      </c>
      <c r="E213" s="13">
        <f t="shared" si="28"/>
        <v>28577.903689999999</v>
      </c>
      <c r="F213" s="8">
        <f t="shared" si="29"/>
        <v>28579.200000000001</v>
      </c>
      <c r="G213" s="8">
        <f t="shared" si="29"/>
        <v>28577.903689999999</v>
      </c>
    </row>
    <row r="214" spans="1:7">
      <c r="A214" s="353"/>
      <c r="B214" s="353"/>
      <c r="C214" s="319"/>
      <c r="D214" s="119" t="s">
        <v>29</v>
      </c>
      <c r="E214" s="13">
        <f t="shared" si="28"/>
        <v>15417.24201</v>
      </c>
      <c r="F214" s="8">
        <f t="shared" si="29"/>
        <v>15417.3</v>
      </c>
      <c r="G214" s="8">
        <f t="shared" si="29"/>
        <v>15417.24201</v>
      </c>
    </row>
    <row r="215" spans="1:7">
      <c r="A215" s="99" t="str">
        <f>'Отчет_ТАБЛ 1'!A180:K180</f>
        <v>Задача 4. Обеспечение реализации функций органов местного самоуправления в сфере образования</v>
      </c>
      <c r="B215" s="100"/>
      <c r="C215" s="100"/>
      <c r="D215" s="147"/>
      <c r="E215" s="100"/>
      <c r="F215" s="100"/>
      <c r="G215" s="101"/>
    </row>
    <row r="216" spans="1:7" ht="36.75" customHeight="1">
      <c r="A216" s="375" t="s">
        <v>26</v>
      </c>
      <c r="B216" s="318" t="s">
        <v>224</v>
      </c>
      <c r="C216" s="318" t="s">
        <v>33</v>
      </c>
      <c r="D216" s="119" t="s">
        <v>30</v>
      </c>
      <c r="E216" s="13">
        <f>G216</f>
        <v>174232.37969999999</v>
      </c>
      <c r="F216" s="8">
        <f>'Отчет_ТАБЛ 1'!H181</f>
        <v>184196.2</v>
      </c>
      <c r="G216" s="8">
        <f>'Отчет_ТАБЛ 1'!I181</f>
        <v>174232.37969999999</v>
      </c>
    </row>
    <row r="217" spans="1:7">
      <c r="A217" s="354"/>
      <c r="B217" s="319"/>
      <c r="C217" s="319"/>
      <c r="D217" s="119" t="s">
        <v>28</v>
      </c>
      <c r="E217" s="13">
        <f t="shared" ref="E217:E246" si="30">G217</f>
        <v>39356.268369999998</v>
      </c>
      <c r="F217" s="8">
        <f>F221+F223</f>
        <v>40096.9</v>
      </c>
      <c r="G217" s="8">
        <f>G221+G223</f>
        <v>39356.268369999998</v>
      </c>
    </row>
    <row r="218" spans="1:7">
      <c r="A218" s="354"/>
      <c r="B218" s="319"/>
      <c r="C218" s="319"/>
      <c r="D218" s="119" t="s">
        <v>29</v>
      </c>
      <c r="E218" s="13">
        <f t="shared" si="30"/>
        <v>132285.77492</v>
      </c>
      <c r="F218" s="8">
        <f>F222+F225+F230</f>
        <v>140706.70000000001</v>
      </c>
      <c r="G218" s="8">
        <f>G222+G225+G230</f>
        <v>132285.77492</v>
      </c>
    </row>
    <row r="219" spans="1:7">
      <c r="A219" s="376"/>
      <c r="B219" s="320"/>
      <c r="C219" s="320"/>
      <c r="D219" s="140" t="s">
        <v>31</v>
      </c>
      <c r="E219" s="13">
        <f t="shared" si="30"/>
        <v>2590.3364099999999</v>
      </c>
      <c r="F219" s="8">
        <f>F226</f>
        <v>3392.6</v>
      </c>
      <c r="G219" s="8">
        <f>G226</f>
        <v>2590.3364099999999</v>
      </c>
    </row>
    <row r="220" spans="1:7" s="125" customFormat="1" ht="18.75" customHeight="1">
      <c r="A220" s="326" t="s">
        <v>67</v>
      </c>
      <c r="B220" s="328" t="s">
        <v>61</v>
      </c>
      <c r="C220" s="337" t="s">
        <v>33</v>
      </c>
      <c r="D220" s="141" t="s">
        <v>30</v>
      </c>
      <c r="E220" s="13">
        <f t="shared" si="30"/>
        <v>51321.242200000001</v>
      </c>
      <c r="F220" s="8">
        <f>'Отчет_ТАБЛ 1'!H182</f>
        <v>52034.9</v>
      </c>
      <c r="G220" s="8">
        <f>'Отчет_ТАБЛ 1'!I182</f>
        <v>51321.242200000001</v>
      </c>
    </row>
    <row r="221" spans="1:7" s="125" customFormat="1">
      <c r="A221" s="327"/>
      <c r="B221" s="329"/>
      <c r="C221" s="338"/>
      <c r="D221" s="124" t="s">
        <v>28</v>
      </c>
      <c r="E221" s="13">
        <f t="shared" si="30"/>
        <v>39013.242200000001</v>
      </c>
      <c r="F221" s="8">
        <v>39726.9</v>
      </c>
      <c r="G221" s="8">
        <v>39013.242200000001</v>
      </c>
    </row>
    <row r="222" spans="1:7" s="125" customFormat="1">
      <c r="A222" s="327"/>
      <c r="B222" s="329"/>
      <c r="C222" s="338"/>
      <c r="D222" s="124" t="s">
        <v>29</v>
      </c>
      <c r="E222" s="13">
        <f t="shared" si="30"/>
        <v>12308</v>
      </c>
      <c r="F222" s="8">
        <v>12308</v>
      </c>
      <c r="G222" s="8">
        <v>12308</v>
      </c>
    </row>
    <row r="223" spans="1:7" s="125" customFormat="1" ht="18.75" customHeight="1">
      <c r="A223" s="123" t="s">
        <v>225</v>
      </c>
      <c r="B223" s="121" t="s">
        <v>62</v>
      </c>
      <c r="C223" s="128" t="s">
        <v>33</v>
      </c>
      <c r="D223" s="124" t="s">
        <v>28</v>
      </c>
      <c r="E223" s="13">
        <f t="shared" si="30"/>
        <v>343.02616999999998</v>
      </c>
      <c r="F223" s="8">
        <f>'Отчет_ТАБЛ 1'!H184</f>
        <v>370</v>
      </c>
      <c r="G223" s="8">
        <f>'Отчет_ТАБЛ 1'!I184</f>
        <v>343.02616999999998</v>
      </c>
    </row>
    <row r="224" spans="1:7" s="125" customFormat="1">
      <c r="A224" s="349" t="s">
        <v>226</v>
      </c>
      <c r="B224" s="351" t="s">
        <v>227</v>
      </c>
      <c r="C224" s="350" t="s">
        <v>33</v>
      </c>
      <c r="D224" s="141" t="s">
        <v>30</v>
      </c>
      <c r="E224" s="13">
        <f t="shared" si="30"/>
        <v>122568.11133</v>
      </c>
      <c r="F224" s="8">
        <f>'Отчет_ТАБЛ 1'!H186</f>
        <v>131791.30000000002</v>
      </c>
      <c r="G224" s="8">
        <f>'Отчет_ТАБЛ 1'!I186</f>
        <v>122568.11133</v>
      </c>
    </row>
    <row r="225" spans="1:7" s="125" customFormat="1">
      <c r="A225" s="349"/>
      <c r="B225" s="351"/>
      <c r="C225" s="350"/>
      <c r="D225" s="124" t="s">
        <v>29</v>
      </c>
      <c r="E225" s="13">
        <f t="shared" si="30"/>
        <v>119977.77492</v>
      </c>
      <c r="F225" s="8">
        <f>F228+F229</f>
        <v>128398.70000000001</v>
      </c>
      <c r="G225" s="8">
        <f>G228+G229</f>
        <v>119977.77492</v>
      </c>
    </row>
    <row r="226" spans="1:7" s="125" customFormat="1">
      <c r="A226" s="349"/>
      <c r="B226" s="351"/>
      <c r="C226" s="350"/>
      <c r="D226" s="124" t="s">
        <v>31</v>
      </c>
      <c r="E226" s="13">
        <f t="shared" si="30"/>
        <v>2590.3364099999999</v>
      </c>
      <c r="F226" s="8">
        <f>F227</f>
        <v>3392.6</v>
      </c>
      <c r="G226" s="8">
        <f>G227</f>
        <v>2590.3364099999999</v>
      </c>
    </row>
    <row r="227" spans="1:7" s="125" customFormat="1" ht="31.5">
      <c r="A227" s="26" t="s">
        <v>228</v>
      </c>
      <c r="B227" s="56" t="s">
        <v>64</v>
      </c>
      <c r="C227" s="124" t="s">
        <v>33</v>
      </c>
      <c r="D227" s="124" t="s">
        <v>31</v>
      </c>
      <c r="E227" s="13">
        <f t="shared" si="30"/>
        <v>2590.3364099999999</v>
      </c>
      <c r="F227" s="8">
        <f>'Отчет_ТАБЛ 1'!H187</f>
        <v>3392.6</v>
      </c>
      <c r="G227" s="8">
        <f>'Отчет_ТАБЛ 1'!I187</f>
        <v>2590.3364099999999</v>
      </c>
    </row>
    <row r="228" spans="1:7" s="125" customFormat="1">
      <c r="A228" s="26" t="s">
        <v>229</v>
      </c>
      <c r="B228" s="56" t="s">
        <v>63</v>
      </c>
      <c r="C228" s="124" t="s">
        <v>33</v>
      </c>
      <c r="D228" s="124" t="s">
        <v>29</v>
      </c>
      <c r="E228" s="13">
        <f t="shared" si="30"/>
        <v>82972.138290000003</v>
      </c>
      <c r="F228" s="8">
        <f>'Отчет_ТАБЛ 1'!H190</f>
        <v>84741.1</v>
      </c>
      <c r="G228" s="8">
        <f>'Отчет_ТАБЛ 1'!I190</f>
        <v>82972.138290000003</v>
      </c>
    </row>
    <row r="229" spans="1:7" s="125" customFormat="1" ht="37.5" customHeight="1">
      <c r="A229" s="26" t="s">
        <v>230</v>
      </c>
      <c r="B229" s="56" t="s">
        <v>65</v>
      </c>
      <c r="C229" s="124" t="s">
        <v>33</v>
      </c>
      <c r="D229" s="124" t="s">
        <v>29</v>
      </c>
      <c r="E229" s="13">
        <f t="shared" si="30"/>
        <v>37005.636629999994</v>
      </c>
      <c r="F229" s="8">
        <f>'Отчет_ТАБЛ 1'!H192</f>
        <v>43657.599999999999</v>
      </c>
      <c r="G229" s="8">
        <f>'Отчет_ТАБЛ 1'!I192</f>
        <v>37005.636629999994</v>
      </c>
    </row>
    <row r="230" spans="1:7" s="125" customFormat="1" ht="31.5">
      <c r="A230" s="26" t="s">
        <v>273</v>
      </c>
      <c r="B230" s="56" t="s">
        <v>55</v>
      </c>
      <c r="C230" s="124" t="s">
        <v>33</v>
      </c>
      <c r="D230" s="124" t="s">
        <v>29</v>
      </c>
      <c r="E230" s="13">
        <f t="shared" si="30"/>
        <v>0</v>
      </c>
      <c r="F230" s="8">
        <f>'Отчет_ТАБЛ 1'!H194</f>
        <v>0</v>
      </c>
      <c r="G230" s="186">
        <v>0</v>
      </c>
    </row>
    <row r="231" spans="1:7" ht="37.5" customHeight="1">
      <c r="A231" s="375" t="s">
        <v>27</v>
      </c>
      <c r="B231" s="318" t="s">
        <v>238</v>
      </c>
      <c r="C231" s="334" t="s">
        <v>274</v>
      </c>
      <c r="D231" s="119" t="s">
        <v>30</v>
      </c>
      <c r="E231" s="13">
        <f t="shared" si="30"/>
        <v>110788.45372</v>
      </c>
      <c r="F231" s="8">
        <f>'Отчет_ТАБЛ 1'!H196</f>
        <v>110882.40000000001</v>
      </c>
      <c r="G231" s="8">
        <f>'Отчет_ТАБЛ 1'!I196</f>
        <v>110788.45372</v>
      </c>
    </row>
    <row r="232" spans="1:7">
      <c r="A232" s="354"/>
      <c r="B232" s="319"/>
      <c r="C232" s="335"/>
      <c r="D232" s="119" t="s">
        <v>28</v>
      </c>
      <c r="E232" s="13">
        <f t="shared" si="30"/>
        <v>110788.33072</v>
      </c>
      <c r="F232" s="148">
        <f>F234</f>
        <v>110882.3</v>
      </c>
      <c r="G232" s="148">
        <f>G234</f>
        <v>110788.33072</v>
      </c>
    </row>
    <row r="233" spans="1:7">
      <c r="A233" s="376"/>
      <c r="B233" s="320"/>
      <c r="C233" s="336"/>
      <c r="D233" s="119" t="s">
        <v>29</v>
      </c>
      <c r="E233" s="13">
        <f t="shared" si="30"/>
        <v>0.123</v>
      </c>
      <c r="F233" s="148">
        <f>F235</f>
        <v>0.1</v>
      </c>
      <c r="G233" s="148">
        <f>G235</f>
        <v>0.123</v>
      </c>
    </row>
    <row r="234" spans="1:7" s="125" customFormat="1" ht="31.5">
      <c r="A234" s="129" t="s">
        <v>239</v>
      </c>
      <c r="B234" s="126" t="s">
        <v>241</v>
      </c>
      <c r="C234" s="124" t="s">
        <v>274</v>
      </c>
      <c r="D234" s="124" t="s">
        <v>28</v>
      </c>
      <c r="E234" s="13">
        <f t="shared" si="30"/>
        <v>110788.33072</v>
      </c>
      <c r="F234" s="148">
        <f>'Отчет_ТАБЛ 1'!H197</f>
        <v>110882.3</v>
      </c>
      <c r="G234" s="148">
        <f>'Отчет_ТАБЛ 1'!I197</f>
        <v>110788.33072</v>
      </c>
    </row>
    <row r="235" spans="1:7" s="125" customFormat="1" ht="31.5">
      <c r="A235" s="127" t="s">
        <v>240</v>
      </c>
      <c r="B235" s="122" t="s">
        <v>55</v>
      </c>
      <c r="C235" s="128" t="s">
        <v>274</v>
      </c>
      <c r="D235" s="128" t="s">
        <v>29</v>
      </c>
      <c r="E235" s="13">
        <f t="shared" si="30"/>
        <v>0.123</v>
      </c>
      <c r="F235" s="185">
        <f>'Отчет_ТАБЛ 1'!H199</f>
        <v>0.1</v>
      </c>
      <c r="G235" s="185">
        <f>'Отчет_ТАБЛ 1'!I199</f>
        <v>0.123</v>
      </c>
    </row>
    <row r="236" spans="1:7" ht="18.75" customHeight="1">
      <c r="A236" s="343" t="s">
        <v>275</v>
      </c>
      <c r="B236" s="344"/>
      <c r="C236" s="353"/>
      <c r="D236" s="119" t="s">
        <v>30</v>
      </c>
      <c r="E236" s="13">
        <f>G236</f>
        <v>285020.83341999998</v>
      </c>
      <c r="F236" s="8">
        <f>F237+F238+F239</f>
        <v>295078.59999999998</v>
      </c>
      <c r="G236" s="8">
        <f>G237+G238+G239</f>
        <v>285020.83341999998</v>
      </c>
    </row>
    <row r="237" spans="1:7">
      <c r="A237" s="345"/>
      <c r="B237" s="346"/>
      <c r="C237" s="353"/>
      <c r="D237" s="119" t="s">
        <v>28</v>
      </c>
      <c r="E237" s="13">
        <f t="shared" si="30"/>
        <v>150144.59909</v>
      </c>
      <c r="F237" s="8">
        <f>F241+F245</f>
        <v>150979.20000000001</v>
      </c>
      <c r="G237" s="8">
        <f>G241+G245</f>
        <v>150144.59909</v>
      </c>
    </row>
    <row r="238" spans="1:7">
      <c r="A238" s="345"/>
      <c r="B238" s="346"/>
      <c r="C238" s="353"/>
      <c r="D238" s="119" t="s">
        <v>29</v>
      </c>
      <c r="E238" s="13">
        <f t="shared" si="30"/>
        <v>132285.89791999999</v>
      </c>
      <c r="F238" s="8">
        <f>F242+F246</f>
        <v>140706.80000000002</v>
      </c>
      <c r="G238" s="8">
        <f>G242+G246</f>
        <v>132285.89791999999</v>
      </c>
    </row>
    <row r="239" spans="1:7">
      <c r="A239" s="345"/>
      <c r="B239" s="346"/>
      <c r="C239" s="353"/>
      <c r="D239" s="118" t="s">
        <v>31</v>
      </c>
      <c r="E239" s="13">
        <f t="shared" si="30"/>
        <v>2590.3364099999999</v>
      </c>
      <c r="F239" s="8">
        <f>F243</f>
        <v>3392.6</v>
      </c>
      <c r="G239" s="8">
        <f>G243</f>
        <v>2590.3364099999999</v>
      </c>
    </row>
    <row r="240" spans="1:7">
      <c r="A240" s="345"/>
      <c r="B240" s="346"/>
      <c r="C240" s="353" t="s">
        <v>33</v>
      </c>
      <c r="D240" s="119" t="s">
        <v>30</v>
      </c>
      <c r="E240" s="13">
        <f t="shared" si="30"/>
        <v>174232.37969999999</v>
      </c>
      <c r="F240" s="8">
        <f t="shared" ref="F240:G243" si="31">F216</f>
        <v>184196.2</v>
      </c>
      <c r="G240" s="8">
        <f t="shared" si="31"/>
        <v>174232.37969999999</v>
      </c>
    </row>
    <row r="241" spans="1:7">
      <c r="A241" s="345"/>
      <c r="B241" s="346"/>
      <c r="C241" s="353"/>
      <c r="D241" s="119" t="s">
        <v>28</v>
      </c>
      <c r="E241" s="13">
        <f t="shared" si="30"/>
        <v>39356.268369999998</v>
      </c>
      <c r="F241" s="8">
        <f t="shared" si="31"/>
        <v>40096.9</v>
      </c>
      <c r="G241" s="8">
        <f t="shared" si="31"/>
        <v>39356.268369999998</v>
      </c>
    </row>
    <row r="242" spans="1:7">
      <c r="A242" s="345"/>
      <c r="B242" s="346"/>
      <c r="C242" s="353"/>
      <c r="D242" s="119" t="s">
        <v>29</v>
      </c>
      <c r="E242" s="13">
        <f t="shared" si="30"/>
        <v>132285.77492</v>
      </c>
      <c r="F242" s="8">
        <f t="shared" si="31"/>
        <v>140706.70000000001</v>
      </c>
      <c r="G242" s="8">
        <f t="shared" si="31"/>
        <v>132285.77492</v>
      </c>
    </row>
    <row r="243" spans="1:7">
      <c r="A243" s="345"/>
      <c r="B243" s="346"/>
      <c r="C243" s="353"/>
      <c r="D243" s="118" t="s">
        <v>31</v>
      </c>
      <c r="E243" s="13">
        <f t="shared" si="30"/>
        <v>2590.3364099999999</v>
      </c>
      <c r="F243" s="8">
        <f t="shared" si="31"/>
        <v>3392.6</v>
      </c>
      <c r="G243" s="8">
        <f t="shared" si="31"/>
        <v>2590.3364099999999</v>
      </c>
    </row>
    <row r="244" spans="1:7">
      <c r="A244" s="345"/>
      <c r="B244" s="346"/>
      <c r="C244" s="342" t="s">
        <v>274</v>
      </c>
      <c r="D244" s="119" t="s">
        <v>30</v>
      </c>
      <c r="E244" s="13">
        <f t="shared" si="30"/>
        <v>110788.45372</v>
      </c>
      <c r="F244" s="8">
        <f t="shared" ref="F244:G246" si="32">F231</f>
        <v>110882.40000000001</v>
      </c>
      <c r="G244" s="8">
        <f t="shared" si="32"/>
        <v>110788.45372</v>
      </c>
    </row>
    <row r="245" spans="1:7">
      <c r="A245" s="345"/>
      <c r="B245" s="346"/>
      <c r="C245" s="342"/>
      <c r="D245" s="119" t="s">
        <v>28</v>
      </c>
      <c r="E245" s="13">
        <f t="shared" si="30"/>
        <v>110788.33072</v>
      </c>
      <c r="F245" s="8">
        <f t="shared" si="32"/>
        <v>110882.3</v>
      </c>
      <c r="G245" s="8">
        <f t="shared" si="32"/>
        <v>110788.33072</v>
      </c>
    </row>
    <row r="246" spans="1:7">
      <c r="A246" s="347"/>
      <c r="B246" s="348"/>
      <c r="C246" s="342"/>
      <c r="D246" s="119" t="s">
        <v>29</v>
      </c>
      <c r="E246" s="13">
        <f t="shared" si="30"/>
        <v>0.123</v>
      </c>
      <c r="F246" s="8">
        <f t="shared" si="32"/>
        <v>0.1</v>
      </c>
      <c r="G246" s="8">
        <f t="shared" si="32"/>
        <v>0.123</v>
      </c>
    </row>
    <row r="247" spans="1:7" s="54" customFormat="1">
      <c r="A247" s="343" t="s">
        <v>276</v>
      </c>
      <c r="B247" s="344"/>
      <c r="C247" s="352"/>
      <c r="D247" s="152" t="s">
        <v>30</v>
      </c>
      <c r="E247" s="149">
        <f>G247</f>
        <v>7796191.1887899991</v>
      </c>
      <c r="F247" s="150">
        <f>SUM(F248:F250)</f>
        <v>7879182.8999999985</v>
      </c>
      <c r="G247" s="150">
        <f>SUM(G248:G250)</f>
        <v>7796191.1887899991</v>
      </c>
    </row>
    <row r="248" spans="1:7" s="54" customFormat="1">
      <c r="A248" s="345"/>
      <c r="B248" s="346"/>
      <c r="C248" s="352"/>
      <c r="D248" s="152" t="s">
        <v>28</v>
      </c>
      <c r="E248" s="149">
        <f t="shared" ref="E248:E250" si="33">G248</f>
        <v>2740154.82125</v>
      </c>
      <c r="F248" s="151">
        <f>F252+F256+F260+F264+F268+F272+F276</f>
        <v>2753598.6</v>
      </c>
      <c r="G248" s="151">
        <f>G252+G256+G260+G264+G268+G272+G276</f>
        <v>2740154.82125</v>
      </c>
    </row>
    <row r="249" spans="1:7" s="54" customFormat="1">
      <c r="A249" s="345"/>
      <c r="B249" s="346"/>
      <c r="C249" s="352"/>
      <c r="D249" s="152" t="s">
        <v>29</v>
      </c>
      <c r="E249" s="149">
        <f t="shared" si="33"/>
        <v>4454849.7497799993</v>
      </c>
      <c r="F249" s="151">
        <f t="shared" ref="F249:G250" si="34">F253+F257+F261+F265+F269+F273+F277</f>
        <v>4495984.299999998</v>
      </c>
      <c r="G249" s="151">
        <f t="shared" si="34"/>
        <v>4454849.7497799993</v>
      </c>
    </row>
    <row r="250" spans="1:7" s="54" customFormat="1">
      <c r="A250" s="345"/>
      <c r="B250" s="346"/>
      <c r="C250" s="352"/>
      <c r="D250" s="152" t="s">
        <v>31</v>
      </c>
      <c r="E250" s="149">
        <f t="shared" si="33"/>
        <v>601186.61775999994</v>
      </c>
      <c r="F250" s="151">
        <f t="shared" si="34"/>
        <v>629600</v>
      </c>
      <c r="G250" s="151">
        <f t="shared" si="34"/>
        <v>601186.61775999994</v>
      </c>
    </row>
    <row r="251" spans="1:7">
      <c r="A251" s="345"/>
      <c r="B251" s="346"/>
      <c r="C251" s="342" t="s">
        <v>33</v>
      </c>
      <c r="D251" s="118" t="s">
        <v>30</v>
      </c>
      <c r="E251" s="144">
        <f>G251</f>
        <v>350055.06371000002</v>
      </c>
      <c r="F251" s="9">
        <f>SUM(F252:F254)</f>
        <v>387630</v>
      </c>
      <c r="G251" s="9">
        <f>SUM(G252:G254)</f>
        <v>350055.06371000002</v>
      </c>
    </row>
    <row r="252" spans="1:7">
      <c r="A252" s="345"/>
      <c r="B252" s="346"/>
      <c r="C252" s="342"/>
      <c r="D252" s="118" t="s">
        <v>28</v>
      </c>
      <c r="E252" s="144">
        <f t="shared" ref="E252:E278" si="35">G252</f>
        <v>39356.268369999998</v>
      </c>
      <c r="F252" s="8">
        <f t="shared" ref="F252:F253" si="36">F217</f>
        <v>40096.9</v>
      </c>
      <c r="G252" s="8">
        <f t="shared" ref="G252" si="37">G217</f>
        <v>39356.268369999998</v>
      </c>
    </row>
    <row r="253" spans="1:7">
      <c r="A253" s="345"/>
      <c r="B253" s="346"/>
      <c r="C253" s="342"/>
      <c r="D253" s="118" t="s">
        <v>29</v>
      </c>
      <c r="E253" s="144">
        <f t="shared" si="35"/>
        <v>132285.77492</v>
      </c>
      <c r="F253" s="8">
        <f t="shared" si="36"/>
        <v>140706.70000000001</v>
      </c>
      <c r="G253" s="8">
        <f t="shared" ref="G253" si="38">G218</f>
        <v>132285.77492</v>
      </c>
    </row>
    <row r="254" spans="1:7">
      <c r="A254" s="345"/>
      <c r="B254" s="346"/>
      <c r="C254" s="342"/>
      <c r="D254" s="118" t="s">
        <v>31</v>
      </c>
      <c r="E254" s="144">
        <f t="shared" si="35"/>
        <v>178413.02041999999</v>
      </c>
      <c r="F254" s="9">
        <f>F194+F219</f>
        <v>206826.4</v>
      </c>
      <c r="G254" s="9">
        <f>G194+G219</f>
        <v>178413.02041999999</v>
      </c>
    </row>
    <row r="255" spans="1:7">
      <c r="A255" s="345"/>
      <c r="B255" s="346"/>
      <c r="C255" s="342" t="s">
        <v>254</v>
      </c>
      <c r="D255" s="118" t="s">
        <v>30</v>
      </c>
      <c r="E255" s="144">
        <f t="shared" si="35"/>
        <v>2755431.0237999996</v>
      </c>
      <c r="F255" s="9">
        <f>SUM(F256:F258)</f>
        <v>2759622.9000000004</v>
      </c>
      <c r="G255" s="9">
        <f>SUM(G256:G258)</f>
        <v>2755431.0237999996</v>
      </c>
    </row>
    <row r="256" spans="1:7">
      <c r="A256" s="345"/>
      <c r="B256" s="346"/>
      <c r="C256" s="342"/>
      <c r="D256" s="118" t="s">
        <v>28</v>
      </c>
      <c r="E256" s="144">
        <f t="shared" si="35"/>
        <v>1085376.4185799998</v>
      </c>
      <c r="F256" s="8">
        <f t="shared" ref="F256:F257" si="39">F96</f>
        <v>1088263.6000000001</v>
      </c>
      <c r="G256" s="8">
        <f t="shared" ref="G256" si="40">G96</f>
        <v>1085376.4185799998</v>
      </c>
    </row>
    <row r="257" spans="1:7">
      <c r="A257" s="345"/>
      <c r="B257" s="346"/>
      <c r="C257" s="342"/>
      <c r="D257" s="118" t="s">
        <v>29</v>
      </c>
      <c r="E257" s="144">
        <f t="shared" si="35"/>
        <v>1670054.60522</v>
      </c>
      <c r="F257" s="8">
        <f t="shared" si="39"/>
        <v>1671359.3</v>
      </c>
      <c r="G257" s="8">
        <f t="shared" ref="G257" si="41">G97</f>
        <v>1670054.60522</v>
      </c>
    </row>
    <row r="258" spans="1:7">
      <c r="A258" s="345"/>
      <c r="B258" s="346"/>
      <c r="C258" s="342"/>
      <c r="D258" s="118" t="s">
        <v>31</v>
      </c>
      <c r="E258" s="144">
        <f t="shared" si="35"/>
        <v>0</v>
      </c>
      <c r="F258" s="9">
        <v>0</v>
      </c>
      <c r="G258" s="9">
        <v>0</v>
      </c>
    </row>
    <row r="259" spans="1:7">
      <c r="A259" s="345"/>
      <c r="B259" s="346"/>
      <c r="C259" s="353" t="s">
        <v>260</v>
      </c>
      <c r="D259" s="118" t="s">
        <v>30</v>
      </c>
      <c r="E259" s="144">
        <f t="shared" si="35"/>
        <v>3903069.6709700003</v>
      </c>
      <c r="F259" s="9">
        <f>SUM(F260:F262)</f>
        <v>3940324.2999999993</v>
      </c>
      <c r="G259" s="9">
        <f>SUM(G260:G262)</f>
        <v>3903069.6709700003</v>
      </c>
    </row>
    <row r="260" spans="1:7">
      <c r="A260" s="345"/>
      <c r="B260" s="346"/>
      <c r="C260" s="353"/>
      <c r="D260" s="118" t="s">
        <v>28</v>
      </c>
      <c r="E260" s="144">
        <f t="shared" si="35"/>
        <v>1440392.9312800001</v>
      </c>
      <c r="F260" s="8">
        <f t="shared" ref="F260:F261" si="42">F192</f>
        <v>1449252.5</v>
      </c>
      <c r="G260" s="8">
        <f t="shared" ref="G260" si="43">G192</f>
        <v>1440392.9312800001</v>
      </c>
    </row>
    <row r="261" spans="1:7">
      <c r="A261" s="345"/>
      <c r="B261" s="346"/>
      <c r="C261" s="353"/>
      <c r="D261" s="118" t="s">
        <v>29</v>
      </c>
      <c r="E261" s="144">
        <f t="shared" si="35"/>
        <v>2462676.7396900002</v>
      </c>
      <c r="F261" s="8">
        <f t="shared" si="42"/>
        <v>2491071.7999999993</v>
      </c>
      <c r="G261" s="8">
        <f t="shared" ref="G261" si="44">G193</f>
        <v>2462676.7396900002</v>
      </c>
    </row>
    <row r="262" spans="1:7">
      <c r="A262" s="345"/>
      <c r="B262" s="346"/>
      <c r="C262" s="353"/>
      <c r="D262" s="118" t="s">
        <v>31</v>
      </c>
      <c r="E262" s="144">
        <f t="shared" si="35"/>
        <v>0</v>
      </c>
      <c r="F262" s="9">
        <v>0</v>
      </c>
      <c r="G262" s="9">
        <v>0</v>
      </c>
    </row>
    <row r="263" spans="1:7">
      <c r="A263" s="345"/>
      <c r="B263" s="346"/>
      <c r="C263" s="353" t="s">
        <v>270</v>
      </c>
      <c r="D263" s="118" t="s">
        <v>30</v>
      </c>
      <c r="E263" s="144">
        <f>G263</f>
        <v>43995.145700000001</v>
      </c>
      <c r="F263" s="9">
        <f>SUM(F264:F266)</f>
        <v>43996.5</v>
      </c>
      <c r="G263" s="9">
        <f>SUM(G264:G266)</f>
        <v>43995.145700000001</v>
      </c>
    </row>
    <row r="264" spans="1:7">
      <c r="A264" s="345"/>
      <c r="B264" s="346"/>
      <c r="C264" s="353"/>
      <c r="D264" s="118" t="s">
        <v>28</v>
      </c>
      <c r="E264" s="144">
        <f t="shared" si="35"/>
        <v>28577.903689999999</v>
      </c>
      <c r="F264" s="8">
        <f t="shared" ref="F264:F265" si="45">F213</f>
        <v>28579.200000000001</v>
      </c>
      <c r="G264" s="8">
        <f t="shared" ref="G264" si="46">G213</f>
        <v>28577.903689999999</v>
      </c>
    </row>
    <row r="265" spans="1:7">
      <c r="A265" s="345"/>
      <c r="B265" s="346"/>
      <c r="C265" s="353"/>
      <c r="D265" s="118" t="s">
        <v>29</v>
      </c>
      <c r="E265" s="144">
        <f t="shared" si="35"/>
        <v>15417.24201</v>
      </c>
      <c r="F265" s="8">
        <f t="shared" si="45"/>
        <v>15417.3</v>
      </c>
      <c r="G265" s="8">
        <f t="shared" ref="G265" si="47">G214</f>
        <v>15417.24201</v>
      </c>
    </row>
    <row r="266" spans="1:7">
      <c r="A266" s="345"/>
      <c r="B266" s="346"/>
      <c r="C266" s="353"/>
      <c r="D266" s="118" t="s">
        <v>31</v>
      </c>
      <c r="E266" s="144">
        <f t="shared" si="35"/>
        <v>0</v>
      </c>
      <c r="F266" s="9">
        <v>0</v>
      </c>
      <c r="G266" s="9">
        <v>0</v>
      </c>
    </row>
    <row r="267" spans="1:7">
      <c r="A267" s="345"/>
      <c r="B267" s="346"/>
      <c r="C267" s="353" t="s">
        <v>274</v>
      </c>
      <c r="D267" s="118" t="s">
        <v>30</v>
      </c>
      <c r="E267" s="144">
        <f t="shared" si="35"/>
        <v>110788.45372</v>
      </c>
      <c r="F267" s="9">
        <f>SUM(F268:F270)</f>
        <v>110882.40000000001</v>
      </c>
      <c r="G267" s="9">
        <f>SUM(G268:G270)</f>
        <v>110788.45372</v>
      </c>
    </row>
    <row r="268" spans="1:7">
      <c r="A268" s="345"/>
      <c r="B268" s="346"/>
      <c r="C268" s="353"/>
      <c r="D268" s="118" t="s">
        <v>28</v>
      </c>
      <c r="E268" s="144">
        <f t="shared" si="35"/>
        <v>110788.33072</v>
      </c>
      <c r="F268" s="8">
        <f t="shared" ref="F268:F269" si="48">F245</f>
        <v>110882.3</v>
      </c>
      <c r="G268" s="8">
        <f t="shared" ref="G268" si="49">G245</f>
        <v>110788.33072</v>
      </c>
    </row>
    <row r="269" spans="1:7">
      <c r="A269" s="345"/>
      <c r="B269" s="346"/>
      <c r="C269" s="353"/>
      <c r="D269" s="118" t="s">
        <v>29</v>
      </c>
      <c r="E269" s="144">
        <f t="shared" si="35"/>
        <v>0.123</v>
      </c>
      <c r="F269" s="8">
        <f t="shared" si="48"/>
        <v>0.1</v>
      </c>
      <c r="G269" s="8">
        <f t="shared" ref="G269" si="50">G246</f>
        <v>0.123</v>
      </c>
    </row>
    <row r="270" spans="1:7">
      <c r="A270" s="345"/>
      <c r="B270" s="346"/>
      <c r="C270" s="353"/>
      <c r="D270" s="118" t="s">
        <v>31</v>
      </c>
      <c r="E270" s="144">
        <f t="shared" si="35"/>
        <v>0</v>
      </c>
      <c r="F270" s="9">
        <v>0</v>
      </c>
      <c r="G270" s="9">
        <v>0</v>
      </c>
    </row>
    <row r="271" spans="1:7">
      <c r="A271" s="345"/>
      <c r="B271" s="346"/>
      <c r="C271" s="342" t="s">
        <v>32</v>
      </c>
      <c r="D271" s="118" t="s">
        <v>30</v>
      </c>
      <c r="E271" s="144">
        <f t="shared" si="35"/>
        <v>627055.451</v>
      </c>
      <c r="F271" s="9">
        <f>SUM(F272:F274)</f>
        <v>627055.5</v>
      </c>
      <c r="G271" s="9">
        <f>SUM(G272:G274)</f>
        <v>627055.451</v>
      </c>
    </row>
    <row r="272" spans="1:7">
      <c r="A272" s="345"/>
      <c r="B272" s="346"/>
      <c r="C272" s="342"/>
      <c r="D272" s="118" t="s">
        <v>28</v>
      </c>
      <c r="E272" s="144">
        <f t="shared" si="35"/>
        <v>34488.050999999999</v>
      </c>
      <c r="F272" s="9">
        <f t="shared" ref="F272:G274" si="51">F99+F196</f>
        <v>34488.100000000006</v>
      </c>
      <c r="G272" s="9">
        <f t="shared" si="51"/>
        <v>34488.050999999999</v>
      </c>
    </row>
    <row r="273" spans="1:7">
      <c r="A273" s="345"/>
      <c r="B273" s="346"/>
      <c r="C273" s="342"/>
      <c r="D273" s="118" t="s">
        <v>29</v>
      </c>
      <c r="E273" s="144">
        <f t="shared" si="35"/>
        <v>169793.80265999999</v>
      </c>
      <c r="F273" s="9">
        <f t="shared" si="51"/>
        <v>169793.8</v>
      </c>
      <c r="G273" s="9">
        <f t="shared" si="51"/>
        <v>169793.80265999999</v>
      </c>
    </row>
    <row r="274" spans="1:7">
      <c r="A274" s="345"/>
      <c r="B274" s="346"/>
      <c r="C274" s="342"/>
      <c r="D274" s="118" t="s">
        <v>31</v>
      </c>
      <c r="E274" s="144">
        <f t="shared" si="35"/>
        <v>422773.59733999998</v>
      </c>
      <c r="F274" s="9">
        <f t="shared" si="51"/>
        <v>422773.6</v>
      </c>
      <c r="G274" s="9">
        <f t="shared" si="51"/>
        <v>422773.59733999998</v>
      </c>
    </row>
    <row r="275" spans="1:7">
      <c r="A275" s="345"/>
      <c r="B275" s="346"/>
      <c r="C275" s="342" t="s">
        <v>70</v>
      </c>
      <c r="D275" s="118" t="s">
        <v>30</v>
      </c>
      <c r="E275" s="144">
        <f>G275</f>
        <v>5796.3798900000002</v>
      </c>
      <c r="F275" s="9">
        <f>SUM(F276:F278)</f>
        <v>9671.2999999999993</v>
      </c>
      <c r="G275" s="9">
        <f>SUM(G276:G278)</f>
        <v>5796.3798900000002</v>
      </c>
    </row>
    <row r="276" spans="1:7">
      <c r="A276" s="345"/>
      <c r="B276" s="346"/>
      <c r="C276" s="342"/>
      <c r="D276" s="118" t="s">
        <v>28</v>
      </c>
      <c r="E276" s="144">
        <f t="shared" si="35"/>
        <v>1174.91761</v>
      </c>
      <c r="F276" s="9">
        <f t="shared" ref="F276:G278" si="52">F103+F200</f>
        <v>2036</v>
      </c>
      <c r="G276" s="9">
        <f t="shared" si="52"/>
        <v>1174.91761</v>
      </c>
    </row>
    <row r="277" spans="1:7">
      <c r="A277" s="345"/>
      <c r="B277" s="346"/>
      <c r="C277" s="342"/>
      <c r="D277" s="118" t="s">
        <v>29</v>
      </c>
      <c r="E277" s="144">
        <f t="shared" si="35"/>
        <v>4621.4622799999997</v>
      </c>
      <c r="F277" s="9">
        <f t="shared" si="52"/>
        <v>7635.3</v>
      </c>
      <c r="G277" s="9">
        <f t="shared" si="52"/>
        <v>4621.4622799999997</v>
      </c>
    </row>
    <row r="278" spans="1:7">
      <c r="A278" s="347"/>
      <c r="B278" s="348"/>
      <c r="C278" s="342"/>
      <c r="D278" s="118" t="s">
        <v>31</v>
      </c>
      <c r="E278" s="144">
        <f t="shared" si="35"/>
        <v>0</v>
      </c>
      <c r="F278" s="9">
        <f t="shared" si="52"/>
        <v>0</v>
      </c>
      <c r="G278" s="9">
        <f t="shared" si="52"/>
        <v>0</v>
      </c>
    </row>
  </sheetData>
  <mergeCells count="143">
    <mergeCell ref="A175:A178"/>
    <mergeCell ref="B175:B178"/>
    <mergeCell ref="C175:C178"/>
    <mergeCell ref="C240:C243"/>
    <mergeCell ref="A236:B246"/>
    <mergeCell ref="C255:C258"/>
    <mergeCell ref="C259:C262"/>
    <mergeCell ref="B220:B222"/>
    <mergeCell ref="C220:C222"/>
    <mergeCell ref="C212:C214"/>
    <mergeCell ref="B207:B209"/>
    <mergeCell ref="A207:A209"/>
    <mergeCell ref="C207:C209"/>
    <mergeCell ref="A212:B214"/>
    <mergeCell ref="A216:A219"/>
    <mergeCell ref="C216:C219"/>
    <mergeCell ref="A231:A233"/>
    <mergeCell ref="B231:B233"/>
    <mergeCell ref="C231:C233"/>
    <mergeCell ref="A220:A222"/>
    <mergeCell ref="B216:B219"/>
    <mergeCell ref="A179:A182"/>
    <mergeCell ref="B179:B182"/>
    <mergeCell ref="C179:C182"/>
    <mergeCell ref="A183:A186"/>
    <mergeCell ref="B183:B186"/>
    <mergeCell ref="C183:C186"/>
    <mergeCell ref="C199:C202"/>
    <mergeCell ref="B204:B206"/>
    <mergeCell ref="A204:A206"/>
    <mergeCell ref="C205:C206"/>
    <mergeCell ref="C195:C198"/>
    <mergeCell ref="A203:G203"/>
    <mergeCell ref="A187:B202"/>
    <mergeCell ref="B163:B166"/>
    <mergeCell ref="A163:A166"/>
    <mergeCell ref="C163:C166"/>
    <mergeCell ref="C167:C170"/>
    <mergeCell ref="C171:C174"/>
    <mergeCell ref="B167:B170"/>
    <mergeCell ref="A171:A174"/>
    <mergeCell ref="A167:A170"/>
    <mergeCell ref="B171:B174"/>
    <mergeCell ref="A138:A141"/>
    <mergeCell ref="B138:B141"/>
    <mergeCell ref="C144:C146"/>
    <mergeCell ref="B144:B146"/>
    <mergeCell ref="A144:A146"/>
    <mergeCell ref="C152:C155"/>
    <mergeCell ref="B152:B155"/>
    <mergeCell ref="A152:A155"/>
    <mergeCell ref="C160:C162"/>
    <mergeCell ref="B160:B162"/>
    <mergeCell ref="A156:A159"/>
    <mergeCell ref="A160:A162"/>
    <mergeCell ref="A1:G1"/>
    <mergeCell ref="C98:C101"/>
    <mergeCell ref="C91:C94"/>
    <mergeCell ref="C191:C194"/>
    <mergeCell ref="B116:B118"/>
    <mergeCell ref="C187:C190"/>
    <mergeCell ref="A2:A3"/>
    <mergeCell ref="B2:B3"/>
    <mergeCell ref="E2:G2"/>
    <mergeCell ref="C2:C3"/>
    <mergeCell ref="D2:D3"/>
    <mergeCell ref="B71:B74"/>
    <mergeCell ref="C71:C74"/>
    <mergeCell ref="B83:B86"/>
    <mergeCell ref="A83:A86"/>
    <mergeCell ref="C83:C86"/>
    <mergeCell ref="C9:C11"/>
    <mergeCell ref="C67:C70"/>
    <mergeCell ref="C63:C66"/>
    <mergeCell ref="C59:C62"/>
    <mergeCell ref="B59:B62"/>
    <mergeCell ref="A59:A62"/>
    <mergeCell ref="A71:A74"/>
    <mergeCell ref="C138:C141"/>
    <mergeCell ref="B75:B78"/>
    <mergeCell ref="A75:A78"/>
    <mergeCell ref="A79:A82"/>
    <mergeCell ref="B79:B82"/>
    <mergeCell ref="C75:C78"/>
    <mergeCell ref="C79:C82"/>
    <mergeCell ref="C156:C159"/>
    <mergeCell ref="B156:B159"/>
    <mergeCell ref="A106:G106"/>
    <mergeCell ref="A116:A118"/>
    <mergeCell ref="C95:C97"/>
    <mergeCell ref="C102:C105"/>
    <mergeCell ref="A91:B105"/>
    <mergeCell ref="A87:A90"/>
    <mergeCell ref="B87:B90"/>
    <mergeCell ref="C87:C90"/>
    <mergeCell ref="B107:B110"/>
    <mergeCell ref="A107:A110"/>
    <mergeCell ref="C107:C110"/>
    <mergeCell ref="C111:C114"/>
    <mergeCell ref="A130:A134"/>
    <mergeCell ref="A135:A137"/>
    <mergeCell ref="B135:B137"/>
    <mergeCell ref="C135:C137"/>
    <mergeCell ref="C275:C278"/>
    <mergeCell ref="A247:B278"/>
    <mergeCell ref="A224:A226"/>
    <mergeCell ref="C224:C226"/>
    <mergeCell ref="B224:B226"/>
    <mergeCell ref="C251:C254"/>
    <mergeCell ref="C271:C274"/>
    <mergeCell ref="C247:C250"/>
    <mergeCell ref="C236:C239"/>
    <mergeCell ref="C244:C246"/>
    <mergeCell ref="C263:C266"/>
    <mergeCell ref="C267:C270"/>
    <mergeCell ref="C54:C57"/>
    <mergeCell ref="A33:A35"/>
    <mergeCell ref="B33:B35"/>
    <mergeCell ref="C33:C35"/>
    <mergeCell ref="A54:A57"/>
    <mergeCell ref="B54:B57"/>
    <mergeCell ref="A50:A53"/>
    <mergeCell ref="B50:B53"/>
    <mergeCell ref="C50:C53"/>
    <mergeCell ref="A46:A49"/>
    <mergeCell ref="B46:B49"/>
    <mergeCell ref="C46:C49"/>
    <mergeCell ref="A42:A45"/>
    <mergeCell ref="B42:B45"/>
    <mergeCell ref="C42:C45"/>
    <mergeCell ref="A38:A41"/>
    <mergeCell ref="B38:B41"/>
    <mergeCell ref="C38:C41"/>
    <mergeCell ref="H20:H21"/>
    <mergeCell ref="C5:C8"/>
    <mergeCell ref="B5:B18"/>
    <mergeCell ref="A5:A18"/>
    <mergeCell ref="B19:B25"/>
    <mergeCell ref="A19:A25"/>
    <mergeCell ref="C22:C24"/>
    <mergeCell ref="C19:C21"/>
    <mergeCell ref="C15:C18"/>
    <mergeCell ref="C12:C1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6" fitToHeight="0" orientation="landscape" r:id="rId1"/>
  <rowBreaks count="8" manualBreakCount="8">
    <brk id="35" max="6" man="1"/>
    <brk id="70" max="6" man="1"/>
    <brk id="105" max="10" man="1"/>
    <brk id="134" max="6" man="1"/>
    <brk id="155" max="6" man="1"/>
    <brk id="186" max="6" man="1"/>
    <brk id="214" max="6" man="1"/>
    <brk id="2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Отчет_ТАБЛ 1</vt:lpstr>
      <vt:lpstr>Отчет_ТАБЛ 2</vt:lpstr>
      <vt:lpstr>'Отчет_ТАБЛ 1'!Заголовки_для_печати</vt:lpstr>
      <vt:lpstr>'Отчет_ТАБЛ 2'!Заголовки_для_печати</vt:lpstr>
      <vt:lpstr>'Отчет_ТАБЛ 1'!Область_печати</vt:lpstr>
      <vt:lpstr>'Отчет_ТАБЛ 2'!Область_печати</vt:lpstr>
    </vt:vector>
  </TitlesOfParts>
  <Company>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</dc:creator>
  <cp:lastModifiedBy>user</cp:lastModifiedBy>
  <cp:lastPrinted>2021-03-24T05:28:18Z</cp:lastPrinted>
  <dcterms:created xsi:type="dcterms:W3CDTF">2013-01-20T07:12:03Z</dcterms:created>
  <dcterms:modified xsi:type="dcterms:W3CDTF">2021-03-29T10:50:02Z</dcterms:modified>
</cp:coreProperties>
</file>