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0" windowWidth="15480" windowHeight="11100"/>
  </bookViews>
  <sheets>
    <sheet name="Отчет_лист 1" sheetId="1" r:id="rId1"/>
    <sheet name="Отчет_лист 2" sheetId="3" r:id="rId2"/>
  </sheets>
  <definedNames>
    <definedName name="sub_10004" localSheetId="0">'Отчет_лист 1'!#REF!</definedName>
    <definedName name="sub_10006" localSheetId="0">'Отчет_лист 1'!#REF!</definedName>
    <definedName name="sub_10008" localSheetId="0">'Отчет_лист 1'!#REF!</definedName>
    <definedName name="_xlnm.Print_Titles" localSheetId="0">'Отчет_лист 1'!$7:$8</definedName>
    <definedName name="_xlnm.Print_Titles" localSheetId="1">'Отчет_лист 2'!$3:$4</definedName>
    <definedName name="_xlnm.Print_Area" localSheetId="0">'Отчет_лист 1'!$A$1:$K$159</definedName>
    <definedName name="_xlnm.Print_Area" localSheetId="1">'Отчет_лист 2'!$A$1:$K$189</definedName>
  </definedNames>
  <calcPr calcId="124519"/>
  <fileRecoveryPr repairLoad="1"/>
</workbook>
</file>

<file path=xl/calcChain.xml><?xml version="1.0" encoding="utf-8"?>
<calcChain xmlns="http://schemas.openxmlformats.org/spreadsheetml/2006/main">
  <c r="E57" i="1"/>
  <c r="E56"/>
  <c r="E55"/>
  <c r="E42"/>
  <c r="E37"/>
  <c r="G81"/>
  <c r="G76"/>
  <c r="G74"/>
  <c r="G73"/>
  <c r="G63"/>
  <c r="G65"/>
  <c r="G67"/>
  <c r="G61"/>
  <c r="G47"/>
  <c r="G45"/>
  <c r="G43"/>
  <c r="G42"/>
  <c r="G38"/>
  <c r="G39"/>
  <c r="G40"/>
  <c r="G37"/>
  <c r="G16"/>
  <c r="G14"/>
  <c r="G95"/>
  <c r="G87"/>
  <c r="G82" l="1"/>
  <c r="I45"/>
  <c r="D42"/>
  <c r="G36"/>
  <c r="G35"/>
  <c r="G134" l="1"/>
  <c r="G132"/>
  <c r="G130"/>
  <c r="G128"/>
  <c r="G125"/>
  <c r="G123"/>
  <c r="G111"/>
  <c r="G110"/>
  <c r="G114"/>
  <c r="G113"/>
  <c r="G115"/>
  <c r="G120"/>
  <c r="G119"/>
  <c r="G118"/>
  <c r="G117"/>
  <c r="G104"/>
  <c r="G98"/>
  <c r="G93"/>
  <c r="G91"/>
  <c r="G89"/>
  <c r="G19" l="1"/>
  <c r="H11"/>
  <c r="H10" s="1"/>
  <c r="F9" i="3"/>
  <c r="F8"/>
  <c r="F7" s="1"/>
  <c r="G9"/>
  <c r="G8"/>
  <c r="G7" s="1"/>
  <c r="H9"/>
  <c r="H8"/>
  <c r="H7" s="1"/>
  <c r="I9"/>
  <c r="I8"/>
  <c r="I7" s="1"/>
  <c r="J10"/>
  <c r="I11" i="1"/>
  <c r="K10" i="3" s="1"/>
  <c r="K161"/>
  <c r="K157"/>
  <c r="K118"/>
  <c r="K117"/>
  <c r="K52"/>
  <c r="K51"/>
  <c r="K50"/>
  <c r="K48"/>
  <c r="K47"/>
  <c r="K46"/>
  <c r="K44"/>
  <c r="K43"/>
  <c r="K42"/>
  <c r="I127" i="1" l="1"/>
  <c r="H127"/>
  <c r="I115"/>
  <c r="I109"/>
  <c r="I108"/>
  <c r="I107" s="1"/>
  <c r="I104"/>
  <c r="I91"/>
  <c r="I89"/>
  <c r="I80"/>
  <c r="I75"/>
  <c r="I58"/>
  <c r="I54"/>
  <c r="I47"/>
  <c r="I43"/>
  <c r="I42" s="1"/>
  <c r="I34"/>
  <c r="G172" i="3" l="1"/>
  <c r="H172"/>
  <c r="I172"/>
  <c r="J172"/>
  <c r="K172"/>
  <c r="G173"/>
  <c r="G171" s="1"/>
  <c r="H173"/>
  <c r="I173"/>
  <c r="J173"/>
  <c r="K173"/>
  <c r="F173"/>
  <c r="F172"/>
  <c r="K165"/>
  <c r="K166"/>
  <c r="J157"/>
  <c r="J165"/>
  <c r="J166"/>
  <c r="E169"/>
  <c r="E170"/>
  <c r="A167"/>
  <c r="G164"/>
  <c r="H164"/>
  <c r="I164"/>
  <c r="G165"/>
  <c r="H165"/>
  <c r="I165"/>
  <c r="G166"/>
  <c r="H166"/>
  <c r="I166"/>
  <c r="F166"/>
  <c r="K160"/>
  <c r="E158"/>
  <c r="E162"/>
  <c r="K155"/>
  <c r="K159"/>
  <c r="E159" s="1"/>
  <c r="J159"/>
  <c r="J164" s="1"/>
  <c r="J171" s="1"/>
  <c r="I160"/>
  <c r="H160"/>
  <c r="G160"/>
  <c r="F168"/>
  <c r="G168"/>
  <c r="H168"/>
  <c r="K150"/>
  <c r="K151"/>
  <c r="K152"/>
  <c r="K138"/>
  <c r="E138" s="1"/>
  <c r="K125"/>
  <c r="K126"/>
  <c r="K127"/>
  <c r="K181" s="1"/>
  <c r="K129"/>
  <c r="K130"/>
  <c r="K131"/>
  <c r="K134"/>
  <c r="K135"/>
  <c r="J125"/>
  <c r="J127"/>
  <c r="J126"/>
  <c r="G134"/>
  <c r="H134"/>
  <c r="I134"/>
  <c r="J134"/>
  <c r="G135"/>
  <c r="H135"/>
  <c r="I135"/>
  <c r="J135"/>
  <c r="F135"/>
  <c r="F134"/>
  <c r="G133"/>
  <c r="H133"/>
  <c r="I133"/>
  <c r="F133"/>
  <c r="E139"/>
  <c r="E140"/>
  <c r="E141"/>
  <c r="E142"/>
  <c r="E143"/>
  <c r="E144"/>
  <c r="E145"/>
  <c r="E146"/>
  <c r="E147"/>
  <c r="E148"/>
  <c r="K116"/>
  <c r="E119"/>
  <c r="E118"/>
  <c r="K112"/>
  <c r="K105"/>
  <c r="K106"/>
  <c r="K107"/>
  <c r="K108"/>
  <c r="G105"/>
  <c r="H105"/>
  <c r="I105"/>
  <c r="J105"/>
  <c r="G106"/>
  <c r="H106"/>
  <c r="I106"/>
  <c r="J106"/>
  <c r="G107"/>
  <c r="H107"/>
  <c r="I107"/>
  <c r="J107"/>
  <c r="F106"/>
  <c r="F107"/>
  <c r="F105"/>
  <c r="I112"/>
  <c r="H112"/>
  <c r="G112"/>
  <c r="F112"/>
  <c r="I108"/>
  <c r="H108"/>
  <c r="G108"/>
  <c r="F108"/>
  <c r="E109"/>
  <c r="E110"/>
  <c r="E111"/>
  <c r="E113"/>
  <c r="E114"/>
  <c r="E115"/>
  <c r="K76"/>
  <c r="K77"/>
  <c r="K78"/>
  <c r="G78"/>
  <c r="H78"/>
  <c r="I78"/>
  <c r="J78"/>
  <c r="G75"/>
  <c r="H75"/>
  <c r="I75"/>
  <c r="G76"/>
  <c r="H76"/>
  <c r="I76"/>
  <c r="J76"/>
  <c r="G77"/>
  <c r="H77"/>
  <c r="I77"/>
  <c r="J77"/>
  <c r="K83"/>
  <c r="K82" s="1"/>
  <c r="J83"/>
  <c r="J75" s="1"/>
  <c r="I82"/>
  <c r="H82"/>
  <c r="G82"/>
  <c r="E79"/>
  <c r="E80"/>
  <c r="E81"/>
  <c r="E84"/>
  <c r="E85"/>
  <c r="F82"/>
  <c r="F78"/>
  <c r="F76"/>
  <c r="F77"/>
  <c r="F75"/>
  <c r="E87"/>
  <c r="E88"/>
  <c r="E89"/>
  <c r="E90"/>
  <c r="E91"/>
  <c r="E93"/>
  <c r="E94"/>
  <c r="E95"/>
  <c r="E96"/>
  <c r="E98"/>
  <c r="E99"/>
  <c r="E101"/>
  <c r="G38"/>
  <c r="H38"/>
  <c r="I38"/>
  <c r="I69" s="1"/>
  <c r="I187" s="1"/>
  <c r="J38"/>
  <c r="K38"/>
  <c r="G39"/>
  <c r="H39"/>
  <c r="H70" s="1"/>
  <c r="H188" s="1"/>
  <c r="I39"/>
  <c r="I70" s="1"/>
  <c r="I188" s="1"/>
  <c r="J39"/>
  <c r="K39"/>
  <c r="K70" s="1"/>
  <c r="K188" s="1"/>
  <c r="G40"/>
  <c r="H40"/>
  <c r="H71" s="1"/>
  <c r="H189" s="1"/>
  <c r="I40"/>
  <c r="I71" s="1"/>
  <c r="I189" s="1"/>
  <c r="J40"/>
  <c r="J71" s="1"/>
  <c r="J189" s="1"/>
  <c r="K40"/>
  <c r="K71" s="1"/>
  <c r="K189" s="1"/>
  <c r="F39"/>
  <c r="F70" s="1"/>
  <c r="F40"/>
  <c r="F71" s="1"/>
  <c r="F189" s="1"/>
  <c r="F38"/>
  <c r="F69" s="1"/>
  <c r="F187" s="1"/>
  <c r="F63"/>
  <c r="F62"/>
  <c r="G63"/>
  <c r="G62"/>
  <c r="H63"/>
  <c r="H62"/>
  <c r="I63"/>
  <c r="I62"/>
  <c r="K63"/>
  <c r="K180" s="1"/>
  <c r="K62"/>
  <c r="J63"/>
  <c r="J62"/>
  <c r="J34"/>
  <c r="J30" s="1"/>
  <c r="K34"/>
  <c r="K30" s="1"/>
  <c r="E30" s="1"/>
  <c r="J35"/>
  <c r="J66" s="1"/>
  <c r="K35"/>
  <c r="K66" s="1"/>
  <c r="K184" s="1"/>
  <c r="J36"/>
  <c r="J67" s="1"/>
  <c r="K36"/>
  <c r="K32" s="1"/>
  <c r="E32" s="1"/>
  <c r="G34"/>
  <c r="G65" s="1"/>
  <c r="H34"/>
  <c r="H65" s="1"/>
  <c r="I34"/>
  <c r="I65" s="1"/>
  <c r="I183" s="1"/>
  <c r="G35"/>
  <c r="G66" s="1"/>
  <c r="H35"/>
  <c r="H66" s="1"/>
  <c r="I35"/>
  <c r="I66" s="1"/>
  <c r="I184" s="1"/>
  <c r="G36"/>
  <c r="G67" s="1"/>
  <c r="H36"/>
  <c r="H67" s="1"/>
  <c r="I36"/>
  <c r="I67" s="1"/>
  <c r="I185" s="1"/>
  <c r="F35"/>
  <c r="F66" s="1"/>
  <c r="F36"/>
  <c r="F67" s="1"/>
  <c r="F34"/>
  <c r="F65" s="1"/>
  <c r="K53"/>
  <c r="E56"/>
  <c r="E55"/>
  <c r="E54"/>
  <c r="I53"/>
  <c r="H53"/>
  <c r="G53"/>
  <c r="F53"/>
  <c r="K49"/>
  <c r="E52"/>
  <c r="E51"/>
  <c r="E50"/>
  <c r="I49"/>
  <c r="H49"/>
  <c r="G49"/>
  <c r="F49"/>
  <c r="K45"/>
  <c r="E48"/>
  <c r="E47"/>
  <c r="E46"/>
  <c r="I45"/>
  <c r="H45"/>
  <c r="G45"/>
  <c r="F45"/>
  <c r="K41"/>
  <c r="G41"/>
  <c r="H41"/>
  <c r="I41"/>
  <c r="F41"/>
  <c r="E42"/>
  <c r="E43"/>
  <c r="E44"/>
  <c r="G28"/>
  <c r="H28"/>
  <c r="I28"/>
  <c r="F28"/>
  <c r="I10"/>
  <c r="J9"/>
  <c r="K9"/>
  <c r="E27"/>
  <c r="E26"/>
  <c r="E24"/>
  <c r="E23"/>
  <c r="E21"/>
  <c r="E20"/>
  <c r="E19"/>
  <c r="E18"/>
  <c r="E17"/>
  <c r="E16"/>
  <c r="E15"/>
  <c r="E14"/>
  <c r="E12"/>
  <c r="E11"/>
  <c r="K13"/>
  <c r="E13" s="1"/>
  <c r="J13"/>
  <c r="J8" s="1"/>
  <c r="K21" i="1"/>
  <c r="J21"/>
  <c r="K16"/>
  <c r="J16"/>
  <c r="K32"/>
  <c r="J32"/>
  <c r="K30"/>
  <c r="J30"/>
  <c r="K28"/>
  <c r="J28"/>
  <c r="K61"/>
  <c r="J61"/>
  <c r="K59"/>
  <c r="J59"/>
  <c r="K65"/>
  <c r="J65"/>
  <c r="K63"/>
  <c r="J63"/>
  <c r="K67"/>
  <c r="J67"/>
  <c r="K70"/>
  <c r="J70"/>
  <c r="K78"/>
  <c r="J78"/>
  <c r="K76"/>
  <c r="J76"/>
  <c r="K87"/>
  <c r="J87"/>
  <c r="K95"/>
  <c r="J95"/>
  <c r="K93"/>
  <c r="J93"/>
  <c r="K91"/>
  <c r="J91"/>
  <c r="K89"/>
  <c r="J89"/>
  <c r="K115"/>
  <c r="J115"/>
  <c r="K134"/>
  <c r="J134"/>
  <c r="K132"/>
  <c r="J132"/>
  <c r="K130"/>
  <c r="J130"/>
  <c r="K128"/>
  <c r="J128"/>
  <c r="J125"/>
  <c r="K125"/>
  <c r="K83"/>
  <c r="J83"/>
  <c r="K75"/>
  <c r="J75"/>
  <c r="K72"/>
  <c r="J72"/>
  <c r="K69"/>
  <c r="J69"/>
  <c r="K34"/>
  <c r="J34"/>
  <c r="K24"/>
  <c r="J24"/>
  <c r="K18"/>
  <c r="J18"/>
  <c r="H54"/>
  <c r="H58"/>
  <c r="K58" s="1"/>
  <c r="H108"/>
  <c r="H109"/>
  <c r="I122"/>
  <c r="K154" i="3" s="1"/>
  <c r="H123" i="1"/>
  <c r="K123" s="1"/>
  <c r="J127"/>
  <c r="I137"/>
  <c r="K168" i="3" s="1"/>
  <c r="D37" i="1"/>
  <c r="G30"/>
  <c r="G32"/>
  <c r="G28"/>
  <c r="G27"/>
  <c r="G26"/>
  <c r="G25"/>
  <c r="G23"/>
  <c r="G22"/>
  <c r="G20"/>
  <c r="G59"/>
  <c r="G57"/>
  <c r="G56"/>
  <c r="G69"/>
  <c r="E66" i="3" l="1"/>
  <c r="J7"/>
  <c r="K176"/>
  <c r="J58" i="1"/>
  <c r="J123"/>
  <c r="J155" i="3"/>
  <c r="I182"/>
  <c r="I186"/>
  <c r="E62"/>
  <c r="F188"/>
  <c r="F186" s="1"/>
  <c r="E63"/>
  <c r="K127" i="1"/>
  <c r="J160" i="3"/>
  <c r="H122" i="1"/>
  <c r="J154" i="3" s="1"/>
  <c r="K122" i="1"/>
  <c r="H171" i="3"/>
  <c r="I171"/>
  <c r="I163"/>
  <c r="K164"/>
  <c r="K179" s="1"/>
  <c r="G163"/>
  <c r="E166"/>
  <c r="J163"/>
  <c r="H163"/>
  <c r="E168"/>
  <c r="K128"/>
  <c r="K149"/>
  <c r="G132"/>
  <c r="K123"/>
  <c r="H132"/>
  <c r="K122"/>
  <c r="K124"/>
  <c r="K133"/>
  <c r="K132" s="1"/>
  <c r="J133"/>
  <c r="E135"/>
  <c r="E134"/>
  <c r="F132"/>
  <c r="I61"/>
  <c r="G61"/>
  <c r="G74"/>
  <c r="I74"/>
  <c r="I104"/>
  <c r="F104"/>
  <c r="F61"/>
  <c r="H74"/>
  <c r="H61"/>
  <c r="F60"/>
  <c r="I37"/>
  <c r="E40"/>
  <c r="H37"/>
  <c r="J74"/>
  <c r="E76"/>
  <c r="E78"/>
  <c r="H104"/>
  <c r="G104"/>
  <c r="E106"/>
  <c r="E108"/>
  <c r="E107"/>
  <c r="K104"/>
  <c r="J104"/>
  <c r="E105"/>
  <c r="E112"/>
  <c r="J82"/>
  <c r="E83"/>
  <c r="K75"/>
  <c r="E75" s="1"/>
  <c r="E77"/>
  <c r="E82"/>
  <c r="E39"/>
  <c r="H69"/>
  <c r="G71"/>
  <c r="J61"/>
  <c r="F37"/>
  <c r="J37"/>
  <c r="K37"/>
  <c r="G37"/>
  <c r="G69"/>
  <c r="G187" s="1"/>
  <c r="G70"/>
  <c r="H60"/>
  <c r="J70"/>
  <c r="J188" s="1"/>
  <c r="K69"/>
  <c r="K187" s="1"/>
  <c r="K186" s="1"/>
  <c r="J69"/>
  <c r="H59"/>
  <c r="J59"/>
  <c r="F59"/>
  <c r="E38"/>
  <c r="K61"/>
  <c r="I58"/>
  <c r="J60"/>
  <c r="I68"/>
  <c r="F68"/>
  <c r="K59"/>
  <c r="H64"/>
  <c r="G64"/>
  <c r="F58"/>
  <c r="F64"/>
  <c r="K67"/>
  <c r="J65"/>
  <c r="I64"/>
  <c r="E45"/>
  <c r="J32"/>
  <c r="K65"/>
  <c r="K183" s="1"/>
  <c r="I60"/>
  <c r="J33"/>
  <c r="I59"/>
  <c r="E35"/>
  <c r="K31"/>
  <c r="E31" s="1"/>
  <c r="E34"/>
  <c r="H33"/>
  <c r="G33"/>
  <c r="J31"/>
  <c r="F33"/>
  <c r="I33"/>
  <c r="K33"/>
  <c r="K29" s="1"/>
  <c r="E29" s="1"/>
  <c r="E36"/>
  <c r="E49"/>
  <c r="E53"/>
  <c r="E41"/>
  <c r="E9"/>
  <c r="K8"/>
  <c r="G86" i="1"/>
  <c r="K175" i="3" l="1"/>
  <c r="K178"/>
  <c r="E67"/>
  <c r="K185"/>
  <c r="K177" s="1"/>
  <c r="G58"/>
  <c r="J187"/>
  <c r="J186" s="1"/>
  <c r="G59"/>
  <c r="G188"/>
  <c r="E188" s="1"/>
  <c r="H68"/>
  <c r="H187"/>
  <c r="H186" s="1"/>
  <c r="E70"/>
  <c r="E65"/>
  <c r="E59"/>
  <c r="G60"/>
  <c r="E60" s="1"/>
  <c r="G189"/>
  <c r="E189" s="1"/>
  <c r="E61"/>
  <c r="E71"/>
  <c r="E8"/>
  <c r="K7"/>
  <c r="E69"/>
  <c r="K60"/>
  <c r="J122" i="1"/>
  <c r="K68" i="3"/>
  <c r="K163"/>
  <c r="K120"/>
  <c r="E133"/>
  <c r="K121"/>
  <c r="J132"/>
  <c r="E132"/>
  <c r="E104"/>
  <c r="E37"/>
  <c r="J68"/>
  <c r="H58"/>
  <c r="H57" s="1"/>
  <c r="G68"/>
  <c r="F57"/>
  <c r="I57"/>
  <c r="E33"/>
  <c r="K58"/>
  <c r="K64"/>
  <c r="E64" s="1"/>
  <c r="J64"/>
  <c r="J58"/>
  <c r="H138" i="1"/>
  <c r="H137" s="1"/>
  <c r="J168" i="3" s="1"/>
  <c r="J112" i="1"/>
  <c r="K112"/>
  <c r="K109"/>
  <c r="H104"/>
  <c r="I97"/>
  <c r="K182" i="3" l="1"/>
  <c r="G57"/>
  <c r="E187"/>
  <c r="K174"/>
  <c r="J116"/>
  <c r="K104" i="1"/>
  <c r="J104"/>
  <c r="G186" i="3"/>
  <c r="E68"/>
  <c r="K57"/>
  <c r="E57" s="1"/>
  <c r="E58"/>
  <c r="K171"/>
  <c r="E172"/>
  <c r="H107" i="1"/>
  <c r="J109"/>
  <c r="H98"/>
  <c r="H100"/>
  <c r="J112" i="3" l="1"/>
  <c r="K100" i="1"/>
  <c r="J100"/>
  <c r="K98"/>
  <c r="J108" i="3"/>
  <c r="J98" i="1"/>
  <c r="E186" i="3"/>
  <c r="H97" i="1"/>
  <c r="I53"/>
  <c r="K73" i="3" s="1"/>
  <c r="H14" i="1"/>
  <c r="H80"/>
  <c r="H53"/>
  <c r="I41"/>
  <c r="H49"/>
  <c r="H47"/>
  <c r="H45"/>
  <c r="H43"/>
  <c r="G13"/>
  <c r="I10"/>
  <c r="F141"/>
  <c r="F152" i="3"/>
  <c r="F151"/>
  <c r="F150"/>
  <c r="G152"/>
  <c r="G151"/>
  <c r="G150"/>
  <c r="H152"/>
  <c r="H151"/>
  <c r="H150"/>
  <c r="I152"/>
  <c r="I181" s="1"/>
  <c r="I177" s="1"/>
  <c r="I151"/>
  <c r="I180" s="1"/>
  <c r="I176" s="1"/>
  <c r="I150"/>
  <c r="I179" s="1"/>
  <c r="G155"/>
  <c r="G154" s="1"/>
  <c r="H155"/>
  <c r="H154" s="1"/>
  <c r="I155"/>
  <c r="I154" s="1"/>
  <c r="K45" i="1" l="1"/>
  <c r="J45" i="3"/>
  <c r="J45" i="1"/>
  <c r="K49"/>
  <c r="J53" i="3"/>
  <c r="J29" s="1"/>
  <c r="J49" i="1"/>
  <c r="K14"/>
  <c r="J14"/>
  <c r="K97"/>
  <c r="J97"/>
  <c r="J41" i="3"/>
  <c r="K43" i="1"/>
  <c r="J43"/>
  <c r="J49" i="3"/>
  <c r="K47" i="1"/>
  <c r="J47"/>
  <c r="I157"/>
  <c r="K80"/>
  <c r="J80"/>
  <c r="I178" i="3"/>
  <c r="I175"/>
  <c r="I174" s="1"/>
  <c r="K28"/>
  <c r="E28" s="1"/>
  <c r="I149"/>
  <c r="H42" i="1"/>
  <c r="H41" l="1"/>
  <c r="K42"/>
  <c r="J42"/>
  <c r="G129" i="3"/>
  <c r="G183" s="1"/>
  <c r="H129"/>
  <c r="H183" s="1"/>
  <c r="G130"/>
  <c r="G184" s="1"/>
  <c r="G131"/>
  <c r="G185" s="1"/>
  <c r="H103"/>
  <c r="E103" s="1"/>
  <c r="H102"/>
  <c r="E102" s="1"/>
  <c r="J28" l="1"/>
  <c r="H157" i="1"/>
  <c r="K41"/>
  <c r="J41"/>
  <c r="G182" i="3"/>
  <c r="H131"/>
  <c r="H185" s="1"/>
  <c r="H130"/>
  <c r="H184" s="1"/>
  <c r="H182" s="1"/>
  <c r="H100"/>
  <c r="H10"/>
  <c r="H6" l="1"/>
  <c r="K137" l="1"/>
  <c r="K6"/>
  <c r="G156" i="1" l="1"/>
  <c r="F156"/>
  <c r="G138"/>
  <c r="K138"/>
  <c r="E151" i="3"/>
  <c r="E152"/>
  <c r="J152"/>
  <c r="J181" s="1"/>
  <c r="J151"/>
  <c r="J180" s="1"/>
  <c r="F131"/>
  <c r="F130"/>
  <c r="H128"/>
  <c r="F129"/>
  <c r="H127"/>
  <c r="G127"/>
  <c r="G181" s="1"/>
  <c r="G177" s="1"/>
  <c r="F127"/>
  <c r="F181" s="1"/>
  <c r="H126"/>
  <c r="H180" s="1"/>
  <c r="H176" s="1"/>
  <c r="G126"/>
  <c r="F126"/>
  <c r="H125"/>
  <c r="H179" s="1"/>
  <c r="G125"/>
  <c r="G179" s="1"/>
  <c r="F125"/>
  <c r="G123"/>
  <c r="H121"/>
  <c r="J129"/>
  <c r="J121" s="1"/>
  <c r="J131"/>
  <c r="J123" s="1"/>
  <c r="J130"/>
  <c r="J122" s="1"/>
  <c r="F74"/>
  <c r="J6"/>
  <c r="G175" l="1"/>
  <c r="E129"/>
  <c r="F183"/>
  <c r="E130"/>
  <c r="F184"/>
  <c r="E184" s="1"/>
  <c r="H175"/>
  <c r="G122"/>
  <c r="G180"/>
  <c r="G176" s="1"/>
  <c r="H123"/>
  <c r="H181"/>
  <c r="H177" s="1"/>
  <c r="E131"/>
  <c r="F185"/>
  <c r="E185" s="1"/>
  <c r="E127"/>
  <c r="E126"/>
  <c r="H122"/>
  <c r="F124"/>
  <c r="F121"/>
  <c r="F128"/>
  <c r="J185"/>
  <c r="J177" s="1"/>
  <c r="H124"/>
  <c r="H120" s="1"/>
  <c r="G128"/>
  <c r="J183"/>
  <c r="G121"/>
  <c r="F122"/>
  <c r="G124"/>
  <c r="F123"/>
  <c r="J138" i="1"/>
  <c r="H149" i="3"/>
  <c r="G149"/>
  <c r="J128"/>
  <c r="F149"/>
  <c r="E181" l="1"/>
  <c r="H174"/>
  <c r="G174"/>
  <c r="F177"/>
  <c r="H178"/>
  <c r="F182"/>
  <c r="E183"/>
  <c r="G178"/>
  <c r="E122"/>
  <c r="E128"/>
  <c r="E123"/>
  <c r="F120"/>
  <c r="E177"/>
  <c r="E182"/>
  <c r="K137" i="1"/>
  <c r="G120" i="3"/>
  <c r="J137" i="1"/>
  <c r="J184" i="3"/>
  <c r="K74"/>
  <c r="E74" s="1"/>
  <c r="J182" l="1"/>
  <c r="J176"/>
  <c r="G100"/>
  <c r="F100"/>
  <c r="G97"/>
  <c r="F97"/>
  <c r="G92"/>
  <c r="F92"/>
  <c r="G86"/>
  <c r="F86"/>
  <c r="G10"/>
  <c r="G22"/>
  <c r="G25"/>
  <c r="F25"/>
  <c r="F22"/>
  <c r="F10"/>
  <c r="J138"/>
  <c r="J150"/>
  <c r="J149" l="1"/>
  <c r="J179"/>
  <c r="J175" s="1"/>
  <c r="E86"/>
  <c r="E97"/>
  <c r="E25"/>
  <c r="E92"/>
  <c r="E100"/>
  <c r="E7"/>
  <c r="E10"/>
  <c r="E22"/>
  <c r="E150"/>
  <c r="G6"/>
  <c r="F6"/>
  <c r="E6" l="1"/>
  <c r="J174"/>
  <c r="E149"/>
  <c r="J57"/>
  <c r="J124"/>
  <c r="J120" s="1"/>
  <c r="J178" l="1"/>
  <c r="J137"/>
  <c r="J73" l="1"/>
  <c r="F137"/>
  <c r="E137" s="1"/>
  <c r="F73"/>
  <c r="E73" s="1"/>
  <c r="F155" i="1"/>
  <c r="G155"/>
  <c r="E124" i="3" l="1"/>
  <c r="E125"/>
  <c r="F156"/>
  <c r="F157"/>
  <c r="G154" i="1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G85"/>
  <c r="G84"/>
  <c r="G55"/>
  <c r="E157" i="3" l="1"/>
  <c r="F165"/>
  <c r="F180" s="1"/>
  <c r="E156"/>
  <c r="F164"/>
  <c r="F179" s="1"/>
  <c r="E121"/>
  <c r="E120"/>
  <c r="F155"/>
  <c r="F157" i="1"/>
  <c r="E159" s="1"/>
  <c r="K53"/>
  <c r="J53"/>
  <c r="K107"/>
  <c r="J107"/>
  <c r="K10"/>
  <c r="J10"/>
  <c r="K108"/>
  <c r="J108"/>
  <c r="F178" i="3" l="1"/>
  <c r="F175"/>
  <c r="E179"/>
  <c r="F176"/>
  <c r="E180"/>
  <c r="E175"/>
  <c r="E165"/>
  <c r="E155"/>
  <c r="F154"/>
  <c r="E154" s="1"/>
  <c r="F163"/>
  <c r="E163" s="1"/>
  <c r="E164"/>
  <c r="E116"/>
  <c r="E117"/>
  <c r="E176"/>
  <c r="E178"/>
  <c r="J157" i="1"/>
  <c r="G12"/>
  <c r="F174" i="3" l="1"/>
  <c r="E173"/>
  <c r="F171"/>
  <c r="E171" s="1"/>
  <c r="F161"/>
  <c r="E161" s="1"/>
  <c r="E174"/>
  <c r="K11" i="1"/>
  <c r="J11"/>
  <c r="F160" i="3" l="1"/>
  <c r="E160" s="1"/>
  <c r="K54" i="1"/>
  <c r="J54"/>
  <c r="I158"/>
  <c r="J158" l="1"/>
  <c r="F159" s="1"/>
  <c r="K158"/>
  <c r="K157"/>
</calcChain>
</file>

<file path=xl/comments1.xml><?xml version="1.0" encoding="utf-8"?>
<comments xmlns="http://schemas.openxmlformats.org/spreadsheetml/2006/main">
  <authors>
    <author>Дом</author>
  </authors>
  <commentList>
    <comment ref="H53" authorId="0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в программе 3 721 135,5 без 39,2 УСДХ</t>
        </r>
      </text>
    </comment>
  </commentList>
</comments>
</file>

<file path=xl/sharedStrings.xml><?xml version="1.0" encoding="utf-8"?>
<sst xmlns="http://schemas.openxmlformats.org/spreadsheetml/2006/main" count="929" uniqueCount="302">
  <si>
    <t>ОТЧЕТ</t>
  </si>
  <si>
    <t>ЗАКАЗЧИК:</t>
  </si>
  <si>
    <t>№ п/п</t>
  </si>
  <si>
    <t>Плановое значение целевого показателя (индикатора)</t>
  </si>
  <si>
    <t>Фактическое значение целевого показателя (индикатора)</t>
  </si>
  <si>
    <t>Итого:</t>
  </si>
  <si>
    <t>-</t>
  </si>
  <si>
    <t>Ед.
изм.</t>
  </si>
  <si>
    <t>Источник финансирования</t>
  </si>
  <si>
    <t>Общий объем  расходов</t>
  </si>
  <si>
    <t>2015
факт</t>
  </si>
  <si>
    <t>шт.</t>
  </si>
  <si>
    <t>Фактический объем расходов на реализацию мероприятий программы по годам (тыс.руб.), в т.ч.</t>
  </si>
  <si>
    <r>
      <t>Эффективность реализации программы в целом (Э</t>
    </r>
    <r>
      <rPr>
        <b/>
        <i/>
        <vertAlign val="subscript"/>
        <sz val="16"/>
        <rFont val="Times New Roman"/>
        <family val="1"/>
        <charset val="204"/>
      </rPr>
      <t>Пр</t>
    </r>
    <r>
      <rPr>
        <b/>
        <sz val="16"/>
        <rFont val="Times New Roman"/>
        <family val="1"/>
        <charset val="204"/>
      </rPr>
      <t>), %</t>
    </r>
  </si>
  <si>
    <t>УПРАВЛЕНИЕ ОБРАЗОВАНИЯ АДМИНИСТРАЦИИ ГОРОДА ОРЕНБУРГА</t>
  </si>
  <si>
    <t>чел.</t>
  </si>
  <si>
    <t>тыс.чел.</t>
  </si>
  <si>
    <t>ед.</t>
  </si>
  <si>
    <t>1.</t>
  </si>
  <si>
    <t>2.</t>
  </si>
  <si>
    <t>УО, ДОО, ОБО</t>
  </si>
  <si>
    <t>Обеспечение дошкольного образования и осуществление присмотра и ухода за детьми</t>
  </si>
  <si>
    <t>Обеспечение начального общего, основного общего, среднего общего и дополнительного образования</t>
  </si>
  <si>
    <t>Проведение мероприятий по формированию в ОБО условий для инклюзивного образования детей-инвалидов, предусматривающих универсальную безбарьерную среду</t>
  </si>
  <si>
    <t>Управление в сфере образования города Оренбурга и обеспечение финансово-хозяйственной деятельности муниципальных организаций, подведомственных УО</t>
  </si>
  <si>
    <t>%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</si>
  <si>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</si>
  <si>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</si>
  <si>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</si>
  <si>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</si>
  <si>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</si>
  <si>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</si>
  <si>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</si>
  <si>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</si>
  <si>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</si>
  <si>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</si>
  <si>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</si>
  <si>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</si>
  <si>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Удельный вес численности учащихся по программам общего образования, участвующих в олимпиадах и конкурсах различного уровня, в общей численности учащихся по программам общего образования</t>
  </si>
  <si>
    <t>Отношение среднемесячной заработной платы педагогических работников ОДОД к среднемесячной заработной плате учителей в Оренбургской области</t>
  </si>
  <si>
    <t>Удельный вес численности педагогических работников ОДОД в возрасте до 35 лет в общей численности педагогических работников ОДОД</t>
  </si>
  <si>
    <t>Мониторинг состояния и развития системы образования города Оренбурга</t>
  </si>
  <si>
    <t>бюджет города</t>
  </si>
  <si>
    <t>областной бюджет</t>
  </si>
  <si>
    <t>всего:</t>
  </si>
  <si>
    <t>Обеспечение отдыха, оздоровление детей в каникулярное время и оказание методической, психолого-педагогической помощи</t>
  </si>
  <si>
    <t>федеральный бюджет</t>
  </si>
  <si>
    <t>Всего по программе:</t>
  </si>
  <si>
    <t>Повышение доступности дошкольных услуг</t>
  </si>
  <si>
    <t>15.</t>
  </si>
  <si>
    <t xml:space="preserve">Обеспечение пожарной безопасности в ДОО </t>
  </si>
  <si>
    <t>Улучшение технического состояния зданий ДОО и (или) их территорий</t>
  </si>
  <si>
    <t>УО, ДОО</t>
  </si>
  <si>
    <t xml:space="preserve">Обеспечение антитеррористической защищенности в ДОО </t>
  </si>
  <si>
    <t xml:space="preserve">Мероприятия, выполняемые ДОО в рамках наказов избирателей депутатов Оренбургского городского Совета </t>
  </si>
  <si>
    <t>Формирование универсальной безбарьерной среды для инклюзивного образования детей-инвалидов в ДОО</t>
  </si>
  <si>
    <t>Улучшение технического состояния зданий ОБО и ОДОД и (или) их территорий</t>
  </si>
  <si>
    <t>Обеспечение пожарной безопасности в ОБО и ОДОД</t>
  </si>
  <si>
    <t>Обеспечение антитеррористической защищенности в ОБО, ОДОД</t>
  </si>
  <si>
    <t xml:space="preserve">Мероприятия, направленные на популяризацию баскетбола среди учащихся школ </t>
  </si>
  <si>
    <t>Мероприятия, выполняемые ОБО, ОДОД в рамках наказов избирателей депутатов ОГС и социально значимых мероприятий</t>
  </si>
  <si>
    <t>КУИ</t>
  </si>
  <si>
    <t>16.</t>
  </si>
  <si>
    <t>Улучшение технического состояния зданий муниципальных загородных детских оздоровительных лагерей и (или) их территорий</t>
  </si>
  <si>
    <t>Обеспечение пожарной безопасности в муниципальных загородных детских оздоровительных лагерях</t>
  </si>
  <si>
    <t>Обеспечение антитеррористической защищенности в муниципальных загородных ДОЛ</t>
  </si>
  <si>
    <t>УО</t>
  </si>
  <si>
    <t>2016
факт</t>
  </si>
  <si>
    <t>мест</t>
  </si>
  <si>
    <t>2017
факт</t>
  </si>
  <si>
    <t xml:space="preserve">Мероприятия, выполняемые в загородных лагерях в рамках наказов избирателей депутатам ОГС (согласно ежегодному решению ОГС) </t>
  </si>
  <si>
    <t>2018
факт</t>
  </si>
  <si>
    <t>Создание дополнительных мест для детей в возрасте от 2 месяцев до 3 лет</t>
  </si>
  <si>
    <t>Создание новых мест с целью ликвидации II смены в ОБО</t>
  </si>
  <si>
    <t>всего по исполнителю:</t>
  </si>
  <si>
    <t>Мероприятие 5. Обеспечение финансово-хозяйственной деятельности муниципальных организаций, подведомственных управлению образования администрации города Оренбурга</t>
  </si>
  <si>
    <t>Таблица 1.  Оценка эффективности реализации программы</t>
  </si>
  <si>
    <t>Таблица 2. Фактический объем финансирования расходов на реализацию муниципальной программы</t>
  </si>
  <si>
    <t>о ходе реализации в 2019 году муниципальной программы «Доступное образование в городе Оренбурге» на 2015-2021 годы</t>
  </si>
  <si>
    <t>2019
план</t>
  </si>
  <si>
    <t>2019
факт</t>
  </si>
  <si>
    <t>Наименование основного мероприятия, 
целевого показателя (индикатора)</t>
  </si>
  <si>
    <t>Уровень достижения целевого показателя (индикатора) конечного результата, %
гр. 5 / гр. 4</t>
  </si>
  <si>
    <t>Абсолютное отклонение значений целевых показателей (индикаторов),
гр. 5 - гр. 4</t>
  </si>
  <si>
    <t>Плановый объем расходов,
тыс. руб.</t>
  </si>
  <si>
    <t>Фактический объем расходов,
тыс. руб.</t>
  </si>
  <si>
    <t>Уровень освоения финансовых средств, %,
гр. 9/гр. 8</t>
  </si>
  <si>
    <t>Абсолютное отклонение в объемах расходов,
тыс. руб.
(гр. 9 - гр. 8)</t>
  </si>
  <si>
    <t>Целевые показатели (индикаторы) конечного результата:</t>
  </si>
  <si>
    <t xml:space="preserve">Наименование основного мероприятия                         </t>
  </si>
  <si>
    <t>Ответственный исполнитель, соисполнитель</t>
  </si>
  <si>
    <t>Задача 1. Обеспечение доступности качественного дошкольного образования</t>
  </si>
  <si>
    <t>Предоставление дошкольного образования и осуществление присмотра и ухода за детьми</t>
  </si>
  <si>
    <t>1.1.</t>
  </si>
  <si>
    <t>численность детей, которым предоставлена возможность получения дошкольного образования</t>
  </si>
  <si>
    <t>количество муниципальных дошкольных образовательных организаций</t>
  </si>
  <si>
    <t>численность педагогических работников ДОО, получивших дополнительное профессиональное образование (прохождение подготовки и (или) получение дополнительного профессионального образования работниками)</t>
  </si>
  <si>
    <t>количество руководителей ОО, получивших премию Администрации города Оренбурга</t>
  </si>
  <si>
    <t>количество частных дошкольных образовательных организаций,</t>
  </si>
  <si>
    <t>в том числе социально ориентированных некоммерческих дошкольных образовательных организаций</t>
  </si>
  <si>
    <t>численность детей-инвалидов, которым предоставлена возможность получения дошкольного образования</t>
  </si>
  <si>
    <t>численность родителей (законных представителей), получающих компенсацию затрат за обучение детей-инвалидов на дому</t>
  </si>
  <si>
    <t>численность детей, которым предоставлена возможность получения дошкольного образования в частных дошкольных образовательных организациях</t>
  </si>
  <si>
    <t>численность работников, получающих заработную плату на уровне минимального размера оплаты труда</t>
  </si>
  <si>
    <t>количество ДОО, оплачивающих налог на имущество, находящееся в муниципальной собственности</t>
  </si>
  <si>
    <t>количество ДОО, в которых улучшено техническое состояние зданий и (или) их территорий</t>
  </si>
  <si>
    <t>Предоставление начального общего, основного общего, среднего общего и дополнительного образования детям</t>
  </si>
  <si>
    <t>Создание дополнительных мест для детей в возрасте до 3 лет в образовательных организациях, осуществляющих образовательную деятельность, капитальные вложения</t>
  </si>
  <si>
    <t>2.1.</t>
  </si>
  <si>
    <t>количество созданных дополнительных мест в ДОО для детей в возрасте от 2 месяцев до 3 лет путем приобретения/строительства зданий</t>
  </si>
  <si>
    <t>приобретение здания в юго-восточном жилом районе г. Оренбурга</t>
  </si>
  <si>
    <t xml:space="preserve">строительство здания в пос. Пристанционный г. Оренбурга,
в том числе проектные и изыскательские работы
</t>
  </si>
  <si>
    <t>приобретение здания в микрорайоне, ограниченном улицами Терешковой, Шевченко, Пролетарской, Новой</t>
  </si>
  <si>
    <t>приобретение здания в микрорайоне, ограниченном ул. Беляевской, ул. Амурской, ул. Заречной, ул. Илекской</t>
  </si>
  <si>
    <t>количество созданных дополнительных мест в ДОО для детей в возрасте от 3 до 7 лет путем приобретения/строительства зданий</t>
  </si>
  <si>
    <t>количество созданных дополнительных мест в ДОО для детей в возрасте от 2 месяцев до 3 лет в действующих организациях, созданных на компенсационной основе</t>
  </si>
  <si>
    <t>Региональный проект "Содействие занятости женщин - создание условий дошкольного образования для детей в возрасте до 3 лет</t>
  </si>
  <si>
    <t>4.1.</t>
  </si>
  <si>
    <t>Обеспечение предоставления начального общего, основного общего, среднего общего и дополнительного образования</t>
  </si>
  <si>
    <t>численность детей, которым предоставлена возможность получать услуги начального общего, основного общего, среднего общего и дополнительного образования</t>
  </si>
  <si>
    <t>количество частных общеобразовательных организаций,</t>
  </si>
  <si>
    <t>в том числе социально ориентированных некоммерческих общеобразовательных организаций</t>
  </si>
  <si>
    <t>численность детей, которым предоставлена возможность получения общего образования в частных общеобразовательных организациях</t>
  </si>
  <si>
    <t>количество ОО, применяющих программы, соответствующие требованиям стандартов начального общего, основного общего, среднего общего и дополнительного образования</t>
  </si>
  <si>
    <t>численность педагогических работников ОО начального общего, основного общего, среднего общего и дополнительного образования детей, прошедших подготовку и (или) получивших дополнительное профессиональное образование</t>
  </si>
  <si>
    <t>количество учащихся ООО, которым назначена муниципальная стипендия для талантливых и одаренных детей</t>
  </si>
  <si>
    <t>количество учащихся ООО, прошедших конкурсный отбор и признанных победителями по его результатам, получивших муниципальный грант "Лучшая школа города Оренбурга"</t>
  </si>
  <si>
    <t>количество награжденных премиями имени В.М. Барбазюка и имени А.И. Морозова</t>
  </si>
  <si>
    <t>количество учителей, которым присвоен муниципальный грант "Лучший учитель города Оренбурга"</t>
  </si>
  <si>
    <t>численность учащихся, охваченных горячим питанием</t>
  </si>
  <si>
    <t>численность учащихся, охваченных горячим питанием, чьи родители (законные представители) награждены муниципальной наградой - медалью "Материнство", муниципальным знаком "Медаль "Материнство"</t>
  </si>
  <si>
    <t>количество ООО, оплачивающих налог на имущество, находящееся в муниципальной собственности</t>
  </si>
  <si>
    <t>численность педагогических работников учреждений дополнительного образования детей, которым повышается средний размер заработной платы</t>
  </si>
  <si>
    <t>тыс. чел.</t>
  </si>
  <si>
    <t>4.1.1.</t>
  </si>
  <si>
    <t>выплата муниципальных стипендий талантливым и одаренным учащимся образовательных организаций города Оренбурга</t>
  </si>
  <si>
    <t>предоставление муниципального гранта "Лучшая школа города Оренбурга"</t>
  </si>
  <si>
    <t>присуждение премий имени В.М. Барбазюка и имени А.И. Морозова</t>
  </si>
  <si>
    <t>предоставление муниципального гранта «Лучший учитель города Оренбурга»</t>
  </si>
  <si>
    <t>ежегодная премия руководителям ОО</t>
  </si>
  <si>
    <t>Организация предоставления начального общего, основного общего, среднего общего образования</t>
  </si>
  <si>
    <t>улучшение технического состояния зданий ООО и ОДОД и (или) их территорий (проектные, экспертные, ремонтные, в том числе 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 георадиолокационных обследований приобретение материалов и прочие расходы, направленные на улучшение технического состояния зданий ООО и ОДОД и (или) их территорий), в том числе:</t>
  </si>
  <si>
    <t>проведение экспертизы сметной документации  для строительства школы на 1135 мест в 16 мкрн СВЖР г.Оренбурга</t>
  </si>
  <si>
    <t>выполнение наказов избирателей депутатами ОГС</t>
  </si>
  <si>
    <t>количество муниципальных ООО и ОДОД, в которых улучшено техническое состояние зданий и (или) их территорий в рамках наказов избирателей депутатам Оренбургского городского Совета и социально значимых мероприятий</t>
  </si>
  <si>
    <t>количество муниципальных ООО и ОДОД, которыми приобретены основные средства, оборудование, материалы, производственный и хозяйственный инвентарь в рамках наказов избирателей депутатам Оренбургского городского Совета и социально значимых мероприятий</t>
  </si>
  <si>
    <t>4.1.2.</t>
  </si>
  <si>
    <t>финансирование мероприятий по организации питания обучающихся в муниципальных общеобразовательных организациях и предоставление компенсационных выплат на горячее питание детей, родители которых награждены муниципальной наградой-медалью "Материнство", муниципальным знаком "Медаль "Материнство"</t>
  </si>
  <si>
    <t>улучшение технического состояния зданий ДОО и (или) их территорий (проектные, экспертные, ремонтные, в том числе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 приобретение материалов и прочие расходы, направленные на улучшение технического состояния зданий ДОО и (или) их территорий)</t>
  </si>
  <si>
    <t>проведение экспертизы сметной документации  для строительства детского сада на 140 мест в п.Пристанционный г.Оренбурга</t>
  </si>
  <si>
    <t>обеспечение получения детьми-инвалидами дошкольного образования, а также получения компенсации затрат родителей (законных представителей) на обучение детей-инвалидов на дому</t>
  </si>
  <si>
    <t>обеспечение получения дошкольного образования в частных дошкольных образовательных организациях</t>
  </si>
  <si>
    <t>обеспечение получения дошкольного образования в муниципальных дошкольных образовательных организациях</t>
  </si>
  <si>
    <t>уплата налога на имущество, находящееся в муниципальной собственности</t>
  </si>
  <si>
    <t>дотация на повышение оплаты труда работников до уровня минимального размера оплаты труда</t>
  </si>
  <si>
    <t>выполнение социально значимых мероприятий</t>
  </si>
  <si>
    <t>Задача 2. Обеспечение доступности качественного начального общего, среднего общего и дополнительного образования</t>
  </si>
  <si>
    <t>обеспечение получения начального общего, основного общего, среднего общего образования в частных общеобразовательных организациях</t>
  </si>
  <si>
    <t>обеспечение получения начального общего, основного общего, среднего общего образования в муниципальных общеобразовательных организациях</t>
  </si>
  <si>
    <t>повышение заработной платы педагогических работников учреждений дополнительного образования города Оренбурга</t>
  </si>
  <si>
    <t>Создание новых мест в ООО, капитальные вложения (строительство здания, расположенного в 16 микрорайоне в городе Оренбурге, для размещения ООО, в том числе проектные и изыскательские работы)</t>
  </si>
  <si>
    <t>5.2.</t>
  </si>
  <si>
    <t>Развитие инфраструктуры общего и дополнительного образования посредством капитального ремонта зданий муниципальных образовательных организаций (проведение капитального и (или) текущего ремонта, работ по реконструкции, строительных, восстановительных работ, противоаварийных мероприятий в ООО и иных мероприятий, направленных на развитие инфраструктуры ООО)</t>
  </si>
  <si>
    <t>5.1.</t>
  </si>
  <si>
    <t>Региональный проект "Современная школа"</t>
  </si>
  <si>
    <t>Приоритетный проект Оренбургской области "Создание универсальной безбарьерной среды для инклюзивного образования детей-инвалидов"</t>
  </si>
  <si>
    <t>Задача 3. Обеспечение отдыха и оздоровления детей в каникулярное время, оказание методической и психолого-педагогической помощи, обеспечение функций и полномочий учредителя образовательных организаций города Оренбурга</t>
  </si>
  <si>
    <t>Организация отдыха и сопровождение деятельности образовательных организаций, оздоровление детей в каникулярное время, оказание методической, психолого-педагогической помощи</t>
  </si>
  <si>
    <t>8.1.</t>
  </si>
  <si>
    <t>Обеспечение отдыха, оздоровления детей в каникулярное время и оказание методической, психолого-педагогической помощи</t>
  </si>
  <si>
    <t>8.1.1.</t>
  </si>
  <si>
    <t>организация отдыха и оздоровление детей в каникулярное время</t>
  </si>
  <si>
    <t>оказание методической, психолого-педагогической помощи в образовательных организациях</t>
  </si>
  <si>
    <t>численность детей, которым предоставлена возможность получать в каникулярное время услуги отдыха и оздоровления, а также методической, психолого-педагогической помощи</t>
  </si>
  <si>
    <t>количество ОО, применяющих программы, соответствующие требованиям стандартов по организации отдыха, оздоровлению детей в каникулярное время и осуществляющих методическую, психолого-педагогическую помощь</t>
  </si>
  <si>
    <t>численность организаций, получающих методическую и психолого-педагогическую помощь</t>
  </si>
  <si>
    <t>количество детей и подростков, охваченных организованной и безопасной формой отдыха</t>
  </si>
  <si>
    <t>8.1.2.</t>
  </si>
  <si>
    <t>8.1.3.</t>
  </si>
  <si>
    <t>Задача 4. Обеспечение реализации функций органов местного самоуправления в сфере образования</t>
  </si>
  <si>
    <t>Обеспечение деятельности управления образования по исполнению функций органов местного самоуправления</t>
  </si>
  <si>
    <t>9.1.</t>
  </si>
  <si>
    <t>исполнение функций управления образования администрации города Оренбурга</t>
  </si>
  <si>
    <t>организация и проведение управлением образования администрации города Оренбурга официальных и праздничных мероприятий</t>
  </si>
  <si>
    <t>выплаты на содержание детей в замещающих семьях</t>
  </si>
  <si>
    <t>выплаты единовременного пособия при всех формах устройства детей, лишенных родительского попечения, в семью</t>
  </si>
  <si>
    <t>выплаты компенсации части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</si>
  <si>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количество детей, посещающих образовательные организации, реализующие образовательную программу дошкольного образования, родителям (законным представителям) которых предусмотрена компенсация части родительской платы</t>
  </si>
  <si>
    <t>количество детей, впервые устроенных в приемную семью или оформленных под опеку</t>
  </si>
  <si>
    <t>количество детей, находящихся в приемной семье</t>
  </si>
  <si>
    <t>9.3.</t>
  </si>
  <si>
    <t>9.2.</t>
  </si>
  <si>
    <t>Задача 5. Обеспечение финансового сопровождения деятельности муниципальных организаций, подведомственных управлению образования администрации города Оренбурга</t>
  </si>
  <si>
    <t>10.1.</t>
  </si>
  <si>
    <t>Мероприятия, выполняемые МКУ "Управление по обеспечению финансово-хозяйственной деятельности образовательных учреждений", по сопровождению деятельности образовательных организаций</t>
  </si>
  <si>
    <t>количество детей, находящихся под опекой</t>
  </si>
  <si>
    <t>обеспечение выплат на содержание ребенка в семье опекуна</t>
  </si>
  <si>
    <t>обеспечение реализации отдельных переданных государственных полномочий:</t>
  </si>
  <si>
    <t>Удельный вес ДОО, применяющих программы, соответствующие требованиям стандартов дошкольного образования, в общем объеме ДОО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</si>
  <si>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 расчете на 1 предмет) в 10 процентах школ с худшими результатами единого государственного экзамена</t>
  </si>
  <si>
    <t>Удельный вес численности учителей в возрасте до 30 лет в общей численности учителей ООО</t>
  </si>
  <si>
    <t>Отношение среднемесячной заработной платы педагогических работников ООО к среднемесячной заработной плате в Оренбургской области</t>
  </si>
  <si>
    <t>Удельный вес ООО, в которых оценка деятельности их руководителей и основных категорий работников осуществляется на основании показателей эффективности деятельности муниципальных общеобразовательных организаций, в общей численности ООО</t>
  </si>
  <si>
    <t>Удельный вес численности обучающихся в ООО, получающих горячее питание, к общей численности обучающихся</t>
  </si>
  <si>
    <t>Удельный вес своевременно выявленной численности детей с ограниченными возможностями здоровья и (или) девиантным (общественно опасным) поведением в общей численности детей с ограниченными возможностями здоровья и (или) девиантным (общественно опасным) поведением</t>
  </si>
  <si>
    <t>Удельный вес численности организаций, получивших методическую и психолого-педагогическую помощь, в общей численности ОО</t>
  </si>
  <si>
    <t xml:space="preserve">Снижение доли обучающихся в ООО, занимающихся во вторую смену,                               к общей численности обучающихся в ООО  </t>
  </si>
  <si>
    <t>Доля обеспеченности населения услугами дошкольного образования (в возрасте от 2 месяцев до 3 лет)</t>
  </si>
  <si>
    <t>количество муниципальных организаций, в отношении которых МКУ «Управление по обеспечению финансово-хозяйственной деятельности образовательных учреждений» осуществляет финансовое сопровождение деятельности</t>
  </si>
  <si>
    <t>количество финансируемых муниципальных образовательных организаций города Оренбурга, обеспечивающих реализацию функций местного самоуправления в сфере образования</t>
  </si>
  <si>
    <t>количество официальных и праздничных мероприятий</t>
  </si>
  <si>
    <t>8.1.4.</t>
  </si>
  <si>
    <t>8.1.5.</t>
  </si>
  <si>
    <t>8.1.6.</t>
  </si>
  <si>
    <t>8.1.7.</t>
  </si>
  <si>
    <t>количество организаций, оплачивающих налог на имущество, находящееся в муниципальной собственности</t>
  </si>
  <si>
    <t>количество проведенных методических объединений для руководителей и педагогических работников образовательных организаций</t>
  </si>
  <si>
    <t>количество оказанных консультативно-диагностических, коррекционно-развивающих услуг по запросу образовательных организаций</t>
  </si>
  <si>
    <t>количество организованных курсов подготовки для педагогических работников</t>
  </si>
  <si>
    <t xml:space="preserve">количество муниципальных ООО и ОДОД, в которых сформирована универсальная безбарьерная среда, позволяющая обеспечить совместное обучение детей-инвалидов и лиц, не имеющих нарушений развития </t>
  </si>
  <si>
    <t>Освобождение налогоплательщиков от уплаты земельного налога в отношении земельных участков, безвозмездно переданных учрежденным ими общеобразовательным учреждениям во владение и пользование сроком не менее 25 лет, на которых расположены здания для размещения объектов образования, построенные ими в рамках соглашения с Администрацией города Оренбурга и используемые для осуществления уставной деятельности</t>
  </si>
  <si>
    <t>доля налогоплательщиков получивших льготу по земельному налогу в отношении земельных участков, безвозмездно переданных учрежденным ими общеобразовательным учреждениям во владение и пользование сроком не менее 25 лет, на которых расположены здания для размещения объектов образования, построенные ими в рамках соглашения с Администрацией города Оренбурга и используемые для осуществления уставной деятельности в общем числе обратившихся, имеющих право на получение льготы по земельному налогу</t>
  </si>
  <si>
    <t>Лимит бюджетных обязательств (ЛБО), утв. ГРБС на 31.12.2019</t>
  </si>
  <si>
    <t>Значение целевого показателя (индикатора) запланировано на 2020 год</t>
  </si>
  <si>
    <t>Количество созданных новых мест в ООО</t>
  </si>
  <si>
    <t>количество зданий ООО, в которых проведены текущий и (или) капитальный ремонт, противоаварийные мероприятия и иные мероприятия, направленные на восстановление целостности конструкций зданий и на развитие инфраструктуры ООО</t>
  </si>
  <si>
    <t>Организация предоставления дополнительного образования</t>
  </si>
  <si>
    <t>4.1.3.</t>
  </si>
  <si>
    <t>4.1.4.</t>
  </si>
  <si>
    <t>4.1.5.</t>
  </si>
  <si>
    <t>4.1.6.</t>
  </si>
  <si>
    <t>4.1.7.</t>
  </si>
  <si>
    <t>4.1.8.</t>
  </si>
  <si>
    <t>4.1.9.</t>
  </si>
  <si>
    <t>Освобождение налогоплательщиков от уплаты земельного налогов отношении земельных участков, безвозмездно переданных учрежденным ими дошкольным образовательным учреждениям во владение и пользование сроком не менее 25 лет, на которых расположены здания для размещения объектов образования, построенные ими в рамках соглашения с Администрацией города Оренбурга и используемые для осуществления уставной деятельности</t>
  </si>
  <si>
    <t>Доля налогоплательщиков получивших льготу по земельному налогу в отношении земельных участков, безвозмездно переданных учрежденным ими дошкольным образовательным учреждениям во владение и пользование сроком не менее 25 лет, на которых расположены здания для размещения объектов образования, построенные ими в рам-ках соглашения с Администрацией города Оренбурга и используемые для осуществления уставной деятельности в общем числе обратившихся, имеющих право на получение льготы по земельному налогу</t>
  </si>
  <si>
    <t>2.1.1.</t>
  </si>
  <si>
    <t>2.1.2.</t>
  </si>
  <si>
    <t>2.1.3.</t>
  </si>
  <si>
    <t>2.1.4.</t>
  </si>
  <si>
    <t>количество ДОО, в которых улучшено техническое состояние зданий и (или) их территорий в рамках наказов избирателей депутатам Оренбургского городского Совета и социально значимых мероприятий</t>
  </si>
  <si>
    <t>количество ДОО, которые приобрели основные средства, оборудование, материалы, производственный и хозяйственный инвентарь в рамках наказов избирателей депутатам Оренбургского городского Совета и социально значимых мероприятий</t>
  </si>
  <si>
    <t xml:space="preserve">выполнение наказов избирателей депутатам Оренбургского городского Совета (проектные экспертные, ремонтные, монтажные работы, приобретение основных средств, оборудования, материалов, производственного и хозяйственного инвентаря в ДОО) </t>
  </si>
  <si>
    <t>1.1.2.</t>
  </si>
  <si>
    <t>1.1.3.</t>
  </si>
  <si>
    <t>1.1.4.</t>
  </si>
  <si>
    <t>1.1.5.</t>
  </si>
  <si>
    <t>1.1.6.</t>
  </si>
  <si>
    <t>1.1.7.</t>
  </si>
  <si>
    <t>1.1.1.</t>
  </si>
  <si>
    <t xml:space="preserve">количество созданных дополнительных мест в ДОО для детей в возрасте от 2 месяцев до 3 лет путем приобретения/строительства зданий </t>
  </si>
  <si>
    <t xml:space="preserve">количество созданных дополнительных мест в ДОО для детей в возрасте от 3 до 7 лет путем приобретения/строительства зданий </t>
  </si>
  <si>
    <t>1.4.</t>
  </si>
  <si>
    <t>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образования, из них:</t>
  </si>
  <si>
    <t>Удельный вес численности педагогических работников ДОО, прошедших подготовку и (или) получивших дополнительное профобразование</t>
  </si>
  <si>
    <t>УО, ДОО, ОБО, УСДХ</t>
  </si>
  <si>
    <t>УСДХ</t>
  </si>
  <si>
    <t>УО, ДОО, ОБО/ ООО</t>
  </si>
  <si>
    <t>КУИ, УСДХ</t>
  </si>
  <si>
    <t>строительство здания в пос. Пристанционный г. Оренбурга, в том числе проектные и изыскательские работы</t>
  </si>
  <si>
    <t xml:space="preserve">в т.ч. </t>
  </si>
  <si>
    <t>Всего по задаче 1:</t>
  </si>
  <si>
    <t>4.2.</t>
  </si>
  <si>
    <t>4.3.</t>
  </si>
  <si>
    <t>4.4.</t>
  </si>
  <si>
    <t>4.5.</t>
  </si>
  <si>
    <t>4.6.</t>
  </si>
  <si>
    <t>4.7.</t>
  </si>
  <si>
    <t>4.8.</t>
  </si>
  <si>
    <t>УО, ООО, УСДХ</t>
  </si>
  <si>
    <t>УО, ОБО/ООО, ОДОД</t>
  </si>
  <si>
    <t>УО, ОБО/ООО</t>
  </si>
  <si>
    <t>УО, ООО</t>
  </si>
  <si>
    <r>
      <t xml:space="preserve">Развитие инфраструктуры общего и дополнительного образования посредством капитального ремонта зданий муниципальных образовательных организаций </t>
    </r>
    <r>
      <rPr>
        <sz val="10"/>
        <rFont val="Times New Roman"/>
        <family val="1"/>
        <charset val="204"/>
      </rPr>
      <t>(проведение капитального и (или) текущего ремонта, работ по реконструкции, строительных, восстановительных работ, противоаварийных мероприятий в ООО и иных мероприятий, направленных на развитие инфраструктуры ООО)</t>
    </r>
  </si>
  <si>
    <r>
      <t>Создание новых мест в ООО, капитальные вложения</t>
    </r>
    <r>
      <rPr>
        <sz val="10"/>
        <rFont val="Times New Roman"/>
        <family val="1"/>
        <charset val="204"/>
      </rPr>
      <t xml:space="preserve"> (строительство здания, расположенного в 16 микрорайоне в городе Оренбурге, для размещения ООО, в том числе проектные и изыскательские работы)</t>
    </r>
  </si>
  <si>
    <t>Основное мероприятие "Предоставление дошкольного образования и осуществление присмотра и ухода за детьми"</t>
  </si>
  <si>
    <t>Основное мероприятие "Региональный проект "Содействие занятости женщин - создание условий дошкольного образования для детей в возрасте "до 3 лет</t>
  </si>
  <si>
    <t>Основное мероприятие "Предоставление начального общего, основного общего, среднего общего и дополнительного образования детям"</t>
  </si>
  <si>
    <t>Основное мероприятие "Региональный проект "Современная школа"</t>
  </si>
  <si>
    <t>Основное мероприятие "Приоритетный проект Оренбургской области "Создание универсальной безбарьерной среды для инклюзивного образования детей-инвалидов"</t>
  </si>
  <si>
    <t>Основное мероприятие "Организация отдыха и сопровождение деятельности образовательных организаций, оздоровление детей в каникулярное время, оказание методической, психолого-педагогической помощи"</t>
  </si>
  <si>
    <t>8.2.</t>
  </si>
  <si>
    <t>8.3.</t>
  </si>
  <si>
    <t>8.4.</t>
  </si>
  <si>
    <t>8.5.</t>
  </si>
  <si>
    <t>8.6.</t>
  </si>
  <si>
    <t>УО, ОДОД, ПО, МКУ УОФХДОУ</t>
  </si>
  <si>
    <t>МКУ УОФХДОУ</t>
  </si>
  <si>
    <t>УО, ДОО, ПО, МКУ УОФХДОУ</t>
  </si>
  <si>
    <t>Основное мероприятие "Обеспечение реализации функций органов местного самоуправления в сфере образования"</t>
  </si>
  <si>
    <t>Всего по задаче 3:</t>
  </si>
  <si>
    <t>Всего по задаче 2:</t>
  </si>
  <si>
    <t>Всего по задаче 4:</t>
  </si>
  <si>
    <t>Основное мероприятие "Обеспечение финансово-хозяйственной деятельности муниципальных организаций, подведомственных управлению образования администрации города Оренбурга"</t>
  </si>
  <si>
    <t>Всего по задаче 5:</t>
  </si>
  <si>
    <t>Доля детей, охваченных образовательными программами ОДОД, в общей численности детей и молодежи в возрасте 5-18 лет</t>
  </si>
  <si>
    <t>количество ДОО, в которых улучшено техническое состояние зданий и (или) их территорий в рамках наказов избирателей депутатам Оренбургского городского Совета</t>
  </si>
  <si>
    <t>количество ДОО, которые приобрели основные средства, оборудование, материалы, производственный и хозяйственный инвентарь в рамках наказов избирателей депутатам Оренбургского городского Совета</t>
  </si>
  <si>
    <t>численность детей, которым предоставлена возможность получать услуги начального общего, основного общего, среднего общего</t>
  </si>
  <si>
    <t>количество проведенных экспертиз</t>
  </si>
  <si>
    <t xml:space="preserve">выполнение наказов избирателей депутатами ОГС </t>
  </si>
  <si>
    <t>количество ОДОД, в которых улучшено техническое состояние зданий и (или) их территорий в рамках наказов избирателей депутатам Оренбургского городского Совета и социально значимых мероприятий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</si>
</sst>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vertAlign val="subscript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>
      <alignment vertical="top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65" fontId="4" fillId="2" borderId="1" xfId="0" applyNumberFormat="1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164" fontId="4" fillId="2" borderId="1" xfId="1" applyNumberFormat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/>
    </xf>
    <xf numFmtId="166" fontId="2" fillId="2" borderId="1" xfId="0" applyNumberFormat="1" applyFont="1" applyFill="1" applyBorder="1"/>
    <xf numFmtId="0" fontId="2" fillId="2" borderId="0" xfId="0" applyFont="1" applyFill="1"/>
    <xf numFmtId="0" fontId="6" fillId="2" borderId="0" xfId="0" applyFont="1" applyFill="1"/>
    <xf numFmtId="0" fontId="6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4" fillId="2" borderId="1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0" xfId="0" applyFont="1" applyFill="1" applyBorder="1" applyAlignment="1" applyProtection="1">
      <alignment vertical="top"/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/>
    <xf numFmtId="0" fontId="8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165" fontId="7" fillId="2" borderId="1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/>
      <protection hidden="1"/>
    </xf>
    <xf numFmtId="165" fontId="2" fillId="2" borderId="1" xfId="1" applyNumberFormat="1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9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 indent="1"/>
      <protection hidden="1"/>
    </xf>
    <xf numFmtId="0" fontId="4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top" indent="1"/>
    </xf>
    <xf numFmtId="0" fontId="11" fillId="2" borderId="1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left" vertical="top" inden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66" fontId="4" fillId="2" borderId="1" xfId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4" fontId="2" fillId="2" borderId="1" xfId="1" applyNumberFormat="1" applyFont="1" applyFill="1" applyBorder="1" applyAlignment="1">
      <alignment horizontal="center" vertical="center" wrapText="1"/>
    </xf>
    <xf numFmtId="9" fontId="2" fillId="2" borderId="3" xfId="1" applyNumberFormat="1" applyFont="1" applyFill="1" applyBorder="1" applyAlignment="1">
      <alignment horizontal="center" vertical="center"/>
    </xf>
    <xf numFmtId="9" fontId="2" fillId="2" borderId="5" xfId="1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bileonline.garant.ru/document/redirect/10180093/0" TargetMode="External"/><Relationship Id="rId1" Type="http://schemas.openxmlformats.org/officeDocument/2006/relationships/hyperlink" Target="http://mobileonline.garant.ru/document/redirect/5632903/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162"/>
  <sheetViews>
    <sheetView tabSelected="1" view="pageBreakPreview" topLeftCell="A13" zoomScale="70" zoomScaleNormal="73" zoomScaleSheetLayoutView="70" workbookViewId="0">
      <selection activeCell="B176" sqref="B176"/>
    </sheetView>
  </sheetViews>
  <sheetFormatPr defaultRowHeight="18.75"/>
  <cols>
    <col min="1" max="1" width="7.85546875" style="34" customWidth="1"/>
    <col min="2" max="2" width="87.7109375" style="106" customWidth="1"/>
    <col min="3" max="3" width="14.85546875" style="57" customWidth="1"/>
    <col min="4" max="4" width="16.140625" style="57" customWidth="1"/>
    <col min="5" max="5" width="17.42578125" style="3" customWidth="1"/>
    <col min="6" max="6" width="18.5703125" style="3" customWidth="1"/>
    <col min="7" max="7" width="19.7109375" style="3" customWidth="1"/>
    <col min="8" max="8" width="21.28515625" style="3" customWidth="1"/>
    <col min="9" max="9" width="19.85546875" style="3" customWidth="1"/>
    <col min="10" max="10" width="17.85546875" style="3" customWidth="1"/>
    <col min="11" max="11" width="19.7109375" style="3" customWidth="1"/>
    <col min="12" max="12" width="13.7109375" style="15" bestFit="1" customWidth="1"/>
    <col min="13" max="31" width="9.140625" style="15"/>
    <col min="32" max="16384" width="9.140625" style="3"/>
  </cols>
  <sheetData>
    <row r="1" spans="1:31" s="30" customFormat="1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s="30" customFormat="1" ht="20.25">
      <c r="A2" s="126" t="s">
        <v>78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s="30" customFormat="1" ht="20.2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s="30" customFormat="1" ht="20.25">
      <c r="A4" s="127" t="s">
        <v>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s="29" customForma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29" customFormat="1">
      <c r="A6" s="128" t="s">
        <v>76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2" customFormat="1" ht="151.5" customHeight="1">
      <c r="A7" s="1" t="s">
        <v>2</v>
      </c>
      <c r="B7" s="99" t="s">
        <v>81</v>
      </c>
      <c r="C7" s="1" t="s">
        <v>7</v>
      </c>
      <c r="D7" s="1" t="s">
        <v>3</v>
      </c>
      <c r="E7" s="1" t="s">
        <v>4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s="2" customFormat="1">
      <c r="A8" s="1">
        <v>1</v>
      </c>
      <c r="B8" s="99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1" s="31" customFormat="1" ht="20.25">
      <c r="A9" s="123" t="s">
        <v>91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32" customFormat="1" ht="40.5">
      <c r="A10" s="78" t="s">
        <v>18</v>
      </c>
      <c r="B10" s="100" t="s">
        <v>92</v>
      </c>
      <c r="C10" s="56" t="s">
        <v>6</v>
      </c>
      <c r="D10" s="56" t="s">
        <v>6</v>
      </c>
      <c r="E10" s="56" t="s">
        <v>6</v>
      </c>
      <c r="F10" s="56" t="s">
        <v>6</v>
      </c>
      <c r="G10" s="56" t="s">
        <v>6</v>
      </c>
      <c r="H10" s="50">
        <f>H11</f>
        <v>2848129.3</v>
      </c>
      <c r="I10" s="50">
        <f>I11</f>
        <v>2845367.2065300001</v>
      </c>
      <c r="J10" s="93">
        <f>I10/H10</f>
        <v>0.9990302078385277</v>
      </c>
      <c r="K10" s="92">
        <f>I10-H10</f>
        <v>-2762.0934699997306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ht="37.5">
      <c r="A11" s="113" t="s">
        <v>93</v>
      </c>
      <c r="B11" s="101" t="s">
        <v>21</v>
      </c>
      <c r="C11" s="85"/>
      <c r="D11" s="85" t="s">
        <v>6</v>
      </c>
      <c r="E11" s="85" t="s">
        <v>6</v>
      </c>
      <c r="F11" s="96" t="s">
        <v>6</v>
      </c>
      <c r="G11" s="88" t="s">
        <v>6</v>
      </c>
      <c r="H11" s="110">
        <f>1317037+1531069.5+H16</f>
        <v>2848129.3</v>
      </c>
      <c r="I11" s="110">
        <f>1315846.19381+1529498.21272+I16</f>
        <v>2845367.2065300001</v>
      </c>
      <c r="J11" s="129">
        <f>I11/H11</f>
        <v>0.9990302078385277</v>
      </c>
      <c r="K11" s="110">
        <f>I11-H11</f>
        <v>-2762.0934699997306</v>
      </c>
    </row>
    <row r="12" spans="1:31" ht="37.5">
      <c r="A12" s="113"/>
      <c r="B12" s="101" t="s">
        <v>94</v>
      </c>
      <c r="C12" s="85" t="s">
        <v>15</v>
      </c>
      <c r="D12" s="88">
        <v>35772</v>
      </c>
      <c r="E12" s="88">
        <v>37807</v>
      </c>
      <c r="F12" s="96" t="s">
        <v>6</v>
      </c>
      <c r="G12" s="88">
        <f>IF(E12-D12=0,"-",E12-D12)</f>
        <v>2035</v>
      </c>
      <c r="H12" s="110"/>
      <c r="I12" s="110"/>
      <c r="J12" s="129"/>
      <c r="K12" s="110"/>
    </row>
    <row r="13" spans="1:31" ht="57" customHeight="1">
      <c r="A13" s="113"/>
      <c r="B13" s="101" t="s">
        <v>96</v>
      </c>
      <c r="C13" s="85" t="s">
        <v>15</v>
      </c>
      <c r="D13" s="85">
        <v>200</v>
      </c>
      <c r="E13" s="88">
        <v>200</v>
      </c>
      <c r="F13" s="96" t="s">
        <v>6</v>
      </c>
      <c r="G13" s="88" t="str">
        <f t="shared" ref="G13" si="0">IF(E13-D13=0,"-",E13-D13)</f>
        <v>-</v>
      </c>
      <c r="H13" s="110"/>
      <c r="I13" s="110"/>
      <c r="J13" s="129"/>
      <c r="K13" s="110"/>
    </row>
    <row r="14" spans="1:31" ht="132" customHeight="1">
      <c r="A14" s="107" t="s">
        <v>249</v>
      </c>
      <c r="B14" s="101" t="s">
        <v>148</v>
      </c>
      <c r="C14" s="114" t="s">
        <v>11</v>
      </c>
      <c r="D14" s="115">
        <v>2</v>
      </c>
      <c r="E14" s="115">
        <v>9</v>
      </c>
      <c r="F14" s="116" t="s">
        <v>6</v>
      </c>
      <c r="G14" s="115">
        <f>IF(E14-D14=0,"-",E14-D14)</f>
        <v>7</v>
      </c>
      <c r="H14" s="110">
        <f>70434+14630.7</f>
        <v>85064.7</v>
      </c>
      <c r="I14" s="110">
        <v>85042.9</v>
      </c>
      <c r="J14" s="112">
        <f t="shared" ref="J14" si="1">I14/H14</f>
        <v>0.99974372448265847</v>
      </c>
      <c r="K14" s="111">
        <f t="shared" ref="K14" si="2">I14-H14</f>
        <v>-21.80000000000291</v>
      </c>
      <c r="L14" s="75"/>
    </row>
    <row r="15" spans="1:31" ht="37.5">
      <c r="A15" s="108"/>
      <c r="B15" s="101" t="s">
        <v>105</v>
      </c>
      <c r="C15" s="114"/>
      <c r="D15" s="115"/>
      <c r="E15" s="115"/>
      <c r="F15" s="117"/>
      <c r="G15" s="115"/>
      <c r="H15" s="110"/>
      <c r="I15" s="110"/>
      <c r="J15" s="112"/>
      <c r="K15" s="111"/>
    </row>
    <row r="16" spans="1:31" ht="37.5">
      <c r="A16" s="108"/>
      <c r="B16" s="101" t="s">
        <v>149</v>
      </c>
      <c r="C16" s="114" t="s">
        <v>11</v>
      </c>
      <c r="D16" s="114">
        <v>1</v>
      </c>
      <c r="E16" s="115">
        <v>1</v>
      </c>
      <c r="F16" s="116" t="s">
        <v>6</v>
      </c>
      <c r="G16" s="115" t="str">
        <f>IF(E16-D16=0,"-",E16-D16)</f>
        <v>-</v>
      </c>
      <c r="H16" s="110">
        <v>22.8</v>
      </c>
      <c r="I16" s="110">
        <v>22.8</v>
      </c>
      <c r="J16" s="112">
        <f t="shared" ref="J16" si="3">I16/H16</f>
        <v>1</v>
      </c>
      <c r="K16" s="111">
        <f t="shared" ref="K16" si="4">I16-H16</f>
        <v>0</v>
      </c>
    </row>
    <row r="17" spans="1:11">
      <c r="A17" s="108"/>
      <c r="B17" s="101" t="s">
        <v>299</v>
      </c>
      <c r="C17" s="114"/>
      <c r="D17" s="114"/>
      <c r="E17" s="115"/>
      <c r="F17" s="117"/>
      <c r="G17" s="115"/>
      <c r="H17" s="110"/>
      <c r="I17" s="110"/>
      <c r="J17" s="112"/>
      <c r="K17" s="111"/>
    </row>
    <row r="18" spans="1:11" ht="75">
      <c r="A18" s="108"/>
      <c r="B18" s="101" t="s">
        <v>242</v>
      </c>
      <c r="C18" s="85" t="s">
        <v>6</v>
      </c>
      <c r="D18" s="88" t="s">
        <v>6</v>
      </c>
      <c r="E18" s="88" t="s">
        <v>6</v>
      </c>
      <c r="F18" s="96" t="s">
        <v>6</v>
      </c>
      <c r="G18" s="88" t="s">
        <v>6</v>
      </c>
      <c r="H18" s="110">
        <v>32758.799999999999</v>
      </c>
      <c r="I18" s="110">
        <v>31845</v>
      </c>
      <c r="J18" s="112">
        <f t="shared" ref="J18:J34" si="5">I18/H18</f>
        <v>0.97210520531887612</v>
      </c>
      <c r="K18" s="111">
        <f t="shared" ref="K18:K34" si="6">I18-H18</f>
        <v>-913.79999999999927</v>
      </c>
    </row>
    <row r="19" spans="1:11" ht="56.25">
      <c r="A19" s="108"/>
      <c r="B19" s="101" t="s">
        <v>296</v>
      </c>
      <c r="C19" s="85" t="s">
        <v>11</v>
      </c>
      <c r="D19" s="85">
        <v>76</v>
      </c>
      <c r="E19" s="88">
        <v>79</v>
      </c>
      <c r="F19" s="96" t="s">
        <v>6</v>
      </c>
      <c r="G19" s="88">
        <f>IF(E19-D19=0,"-",E19-D19)</f>
        <v>3</v>
      </c>
      <c r="H19" s="110"/>
      <c r="I19" s="110"/>
      <c r="J19" s="112"/>
      <c r="K19" s="111"/>
    </row>
    <row r="20" spans="1:11" ht="56.25" customHeight="1">
      <c r="A20" s="109"/>
      <c r="B20" s="101" t="s">
        <v>297</v>
      </c>
      <c r="C20" s="85" t="s">
        <v>11</v>
      </c>
      <c r="D20" s="85">
        <v>56</v>
      </c>
      <c r="E20" s="88">
        <v>65</v>
      </c>
      <c r="F20" s="96" t="s">
        <v>6</v>
      </c>
      <c r="G20" s="88">
        <f>IF(E20-D20=0,"-",E20-D20)</f>
        <v>9</v>
      </c>
      <c r="H20" s="110"/>
      <c r="I20" s="110"/>
      <c r="J20" s="112"/>
      <c r="K20" s="111"/>
    </row>
    <row r="21" spans="1:11" ht="56.25">
      <c r="A21" s="113" t="s">
        <v>243</v>
      </c>
      <c r="B21" s="101" t="s">
        <v>150</v>
      </c>
      <c r="C21" s="85" t="s">
        <v>6</v>
      </c>
      <c r="D21" s="88" t="s">
        <v>6</v>
      </c>
      <c r="E21" s="88" t="s">
        <v>6</v>
      </c>
      <c r="F21" s="96" t="s">
        <v>6</v>
      </c>
      <c r="G21" s="88" t="s">
        <v>6</v>
      </c>
      <c r="H21" s="110">
        <v>15402.4</v>
      </c>
      <c r="I21" s="110">
        <v>14437.7</v>
      </c>
      <c r="J21" s="112">
        <f t="shared" ref="J21" si="7">I21/H21</f>
        <v>0.9373669038591389</v>
      </c>
      <c r="K21" s="111">
        <f t="shared" ref="K21" si="8">I21-H21</f>
        <v>-964.69999999999891</v>
      </c>
    </row>
    <row r="22" spans="1:11" ht="37.5">
      <c r="A22" s="113"/>
      <c r="B22" s="101" t="s">
        <v>100</v>
      </c>
      <c r="C22" s="85" t="s">
        <v>15</v>
      </c>
      <c r="D22" s="85">
        <v>361</v>
      </c>
      <c r="E22" s="88">
        <v>367</v>
      </c>
      <c r="F22" s="96" t="s">
        <v>6</v>
      </c>
      <c r="G22" s="88">
        <f>IF(E22-D22=0,"-",E22-D22)</f>
        <v>6</v>
      </c>
      <c r="H22" s="110"/>
      <c r="I22" s="110"/>
      <c r="J22" s="112"/>
      <c r="K22" s="111"/>
    </row>
    <row r="23" spans="1:11" ht="37.5">
      <c r="A23" s="113"/>
      <c r="B23" s="101" t="s">
        <v>101</v>
      </c>
      <c r="C23" s="85" t="s">
        <v>15</v>
      </c>
      <c r="D23" s="85">
        <v>22</v>
      </c>
      <c r="E23" s="88">
        <v>36</v>
      </c>
      <c r="F23" s="96" t="s">
        <v>6</v>
      </c>
      <c r="G23" s="88">
        <f>IF(E23-D23=0,"-",E23-D23)</f>
        <v>14</v>
      </c>
      <c r="H23" s="110"/>
      <c r="I23" s="110"/>
      <c r="J23" s="112"/>
      <c r="K23" s="111"/>
    </row>
    <row r="24" spans="1:11" ht="37.5">
      <c r="A24" s="113" t="s">
        <v>244</v>
      </c>
      <c r="B24" s="101" t="s">
        <v>151</v>
      </c>
      <c r="C24" s="91" t="s">
        <v>6</v>
      </c>
      <c r="D24" s="91" t="s">
        <v>6</v>
      </c>
      <c r="E24" s="88" t="s">
        <v>6</v>
      </c>
      <c r="F24" s="96" t="s">
        <v>6</v>
      </c>
      <c r="G24" s="88" t="s">
        <v>6</v>
      </c>
      <c r="H24" s="110">
        <v>13146.7</v>
      </c>
      <c r="I24" s="110">
        <v>12540.1</v>
      </c>
      <c r="J24" s="112">
        <f t="shared" si="5"/>
        <v>0.95385914335916999</v>
      </c>
      <c r="K24" s="111">
        <f t="shared" si="6"/>
        <v>-606.60000000000036</v>
      </c>
    </row>
    <row r="25" spans="1:11" ht="20.25">
      <c r="A25" s="113"/>
      <c r="B25" s="101" t="s">
        <v>98</v>
      </c>
      <c r="C25" s="85" t="s">
        <v>11</v>
      </c>
      <c r="D25" s="85">
        <v>5</v>
      </c>
      <c r="E25" s="88">
        <v>8</v>
      </c>
      <c r="F25" s="96" t="s">
        <v>6</v>
      </c>
      <c r="G25" s="88">
        <f>IF(E25-D25=0,"-",E25-D25)</f>
        <v>3</v>
      </c>
      <c r="H25" s="110"/>
      <c r="I25" s="110"/>
      <c r="J25" s="112"/>
      <c r="K25" s="111"/>
    </row>
    <row r="26" spans="1:11" ht="37.5">
      <c r="A26" s="113"/>
      <c r="B26" s="101" t="s">
        <v>99</v>
      </c>
      <c r="C26" s="85" t="s">
        <v>11</v>
      </c>
      <c r="D26" s="85">
        <v>5</v>
      </c>
      <c r="E26" s="88">
        <v>8</v>
      </c>
      <c r="F26" s="96" t="s">
        <v>6</v>
      </c>
      <c r="G26" s="88">
        <f>IF(E26-D26=0,"-",E26-D26)</f>
        <v>3</v>
      </c>
      <c r="H26" s="110"/>
      <c r="I26" s="110"/>
      <c r="J26" s="112"/>
      <c r="K26" s="111"/>
    </row>
    <row r="27" spans="1:11" ht="56.25">
      <c r="A27" s="113"/>
      <c r="B27" s="101" t="s">
        <v>102</v>
      </c>
      <c r="C27" s="85" t="s">
        <v>15</v>
      </c>
      <c r="D27" s="88">
        <v>667</v>
      </c>
      <c r="E27" s="88">
        <v>596</v>
      </c>
      <c r="F27" s="96" t="s">
        <v>6</v>
      </c>
      <c r="G27" s="88">
        <f>IF(E27-D27=0,"-",E27-D27)</f>
        <v>-71</v>
      </c>
      <c r="H27" s="110"/>
      <c r="I27" s="110"/>
      <c r="J27" s="112"/>
      <c r="K27" s="111"/>
    </row>
    <row r="28" spans="1:11" ht="37.5">
      <c r="A28" s="113" t="s">
        <v>245</v>
      </c>
      <c r="B28" s="101" t="s">
        <v>152</v>
      </c>
      <c r="C28" s="114" t="s">
        <v>11</v>
      </c>
      <c r="D28" s="115">
        <v>138</v>
      </c>
      <c r="E28" s="115">
        <v>138</v>
      </c>
      <c r="F28" s="116" t="s">
        <v>6</v>
      </c>
      <c r="G28" s="115" t="str">
        <f>IF(E28-D28=0,"-",E28-D28)</f>
        <v>-</v>
      </c>
      <c r="H28" s="110">
        <v>1402586.1</v>
      </c>
      <c r="I28" s="110">
        <v>1402586.1</v>
      </c>
      <c r="J28" s="112">
        <f t="shared" si="5"/>
        <v>1</v>
      </c>
      <c r="K28" s="111">
        <f t="shared" si="6"/>
        <v>0</v>
      </c>
    </row>
    <row r="29" spans="1:11" ht="19.5" customHeight="1">
      <c r="A29" s="113"/>
      <c r="B29" s="101" t="s">
        <v>95</v>
      </c>
      <c r="C29" s="114"/>
      <c r="D29" s="115"/>
      <c r="E29" s="115"/>
      <c r="F29" s="117"/>
      <c r="G29" s="115"/>
      <c r="H29" s="110"/>
      <c r="I29" s="110"/>
      <c r="J29" s="112"/>
      <c r="K29" s="111"/>
    </row>
    <row r="30" spans="1:11" ht="19.5" customHeight="1">
      <c r="A30" s="118" t="s">
        <v>246</v>
      </c>
      <c r="B30" s="101" t="s">
        <v>153</v>
      </c>
      <c r="C30" s="114" t="s">
        <v>11</v>
      </c>
      <c r="D30" s="115">
        <v>138</v>
      </c>
      <c r="E30" s="115">
        <v>138</v>
      </c>
      <c r="F30" s="116" t="s">
        <v>6</v>
      </c>
      <c r="G30" s="115" t="str">
        <f t="shared" ref="G30" si="9">IF(E30-D30=0,"-",E30-D30)</f>
        <v>-</v>
      </c>
      <c r="H30" s="110">
        <v>25615.8</v>
      </c>
      <c r="I30" s="110">
        <v>25615.8</v>
      </c>
      <c r="J30" s="112">
        <f t="shared" ref="J30" si="10">I30/H30</f>
        <v>1</v>
      </c>
      <c r="K30" s="111">
        <f t="shared" ref="K30" si="11">I30-H30</f>
        <v>0</v>
      </c>
    </row>
    <row r="31" spans="1:11" ht="37.5">
      <c r="A31" s="113"/>
      <c r="B31" s="101" t="s">
        <v>104</v>
      </c>
      <c r="C31" s="114"/>
      <c r="D31" s="115"/>
      <c r="E31" s="115"/>
      <c r="F31" s="117"/>
      <c r="G31" s="115"/>
      <c r="H31" s="110"/>
      <c r="I31" s="110"/>
      <c r="J31" s="112"/>
      <c r="K31" s="111"/>
    </row>
    <row r="32" spans="1:11" ht="37.5">
      <c r="A32" s="113" t="s">
        <v>247</v>
      </c>
      <c r="B32" s="101" t="s">
        <v>154</v>
      </c>
      <c r="C32" s="114" t="s">
        <v>15</v>
      </c>
      <c r="D32" s="115">
        <v>2497</v>
      </c>
      <c r="E32" s="115">
        <v>2599</v>
      </c>
      <c r="F32" s="116" t="s">
        <v>6</v>
      </c>
      <c r="G32" s="115">
        <f t="shared" ref="G32" si="12">IF(E32-D32=0,"-",E32-D32)</f>
        <v>102</v>
      </c>
      <c r="H32" s="110">
        <v>46102.1</v>
      </c>
      <c r="I32" s="110">
        <v>46102</v>
      </c>
      <c r="J32" s="112">
        <f t="shared" ref="J32" si="13">I32/H32</f>
        <v>0.99999783090141237</v>
      </c>
      <c r="K32" s="111">
        <f t="shared" ref="K32" si="14">I32-H32</f>
        <v>-9.9999999998544808E-2</v>
      </c>
    </row>
    <row r="33" spans="1:31" ht="37.5">
      <c r="A33" s="113"/>
      <c r="B33" s="101" t="s">
        <v>103</v>
      </c>
      <c r="C33" s="114"/>
      <c r="D33" s="115"/>
      <c r="E33" s="115"/>
      <c r="F33" s="117"/>
      <c r="G33" s="115"/>
      <c r="H33" s="110"/>
      <c r="I33" s="110"/>
      <c r="J33" s="112"/>
      <c r="K33" s="111"/>
    </row>
    <row r="34" spans="1:31" ht="18" customHeight="1">
      <c r="A34" s="113" t="s">
        <v>248</v>
      </c>
      <c r="B34" s="101" t="s">
        <v>155</v>
      </c>
      <c r="C34" s="85" t="s">
        <v>6</v>
      </c>
      <c r="D34" s="88" t="s">
        <v>6</v>
      </c>
      <c r="E34" s="88" t="s">
        <v>6</v>
      </c>
      <c r="F34" s="96" t="s">
        <v>6</v>
      </c>
      <c r="G34" s="88" t="s">
        <v>6</v>
      </c>
      <c r="H34" s="110">
        <v>13585.7</v>
      </c>
      <c r="I34" s="110">
        <f>13585.7</f>
        <v>13585.7</v>
      </c>
      <c r="J34" s="112">
        <f t="shared" si="5"/>
        <v>1</v>
      </c>
      <c r="K34" s="111">
        <f t="shared" si="6"/>
        <v>0</v>
      </c>
    </row>
    <row r="35" spans="1:31" ht="55.5" customHeight="1">
      <c r="A35" s="113"/>
      <c r="B35" s="101" t="s">
        <v>240</v>
      </c>
      <c r="C35" s="85" t="s">
        <v>11</v>
      </c>
      <c r="D35" s="85">
        <v>76</v>
      </c>
      <c r="E35" s="88">
        <v>79</v>
      </c>
      <c r="F35" s="76" t="s">
        <v>6</v>
      </c>
      <c r="G35" s="88">
        <f t="shared" ref="G35:G47" si="15">IF(E35-D35=0,"-",E35-D35)</f>
        <v>3</v>
      </c>
      <c r="H35" s="110"/>
      <c r="I35" s="110"/>
      <c r="J35" s="112"/>
      <c r="K35" s="111"/>
    </row>
    <row r="36" spans="1:31" ht="75">
      <c r="A36" s="113"/>
      <c r="B36" s="102" t="s">
        <v>241</v>
      </c>
      <c r="C36" s="85" t="s">
        <v>11</v>
      </c>
      <c r="D36" s="85">
        <v>56</v>
      </c>
      <c r="E36" s="88">
        <v>65</v>
      </c>
      <c r="F36" s="76" t="s">
        <v>6</v>
      </c>
      <c r="G36" s="88">
        <f t="shared" si="15"/>
        <v>9</v>
      </c>
      <c r="H36" s="110"/>
      <c r="I36" s="110"/>
      <c r="J36" s="112"/>
      <c r="K36" s="111"/>
    </row>
    <row r="37" spans="1:31" ht="56.25">
      <c r="A37" s="113" t="s">
        <v>252</v>
      </c>
      <c r="B37" s="102" t="s">
        <v>253</v>
      </c>
      <c r="C37" s="85" t="s">
        <v>68</v>
      </c>
      <c r="D37" s="88">
        <f>SUM(D38:D40)</f>
        <v>1000</v>
      </c>
      <c r="E37" s="88">
        <f>SUM(E38:E40)</f>
        <v>1000</v>
      </c>
      <c r="F37" s="76" t="s">
        <v>6</v>
      </c>
      <c r="G37" s="88" t="str">
        <f t="shared" si="15"/>
        <v>-</v>
      </c>
      <c r="H37" s="88">
        <v>0</v>
      </c>
      <c r="I37" s="88">
        <v>0</v>
      </c>
      <c r="J37" s="40" t="s">
        <v>6</v>
      </c>
      <c r="K37" s="79" t="s">
        <v>6</v>
      </c>
    </row>
    <row r="38" spans="1:31" ht="36.75" customHeight="1">
      <c r="A38" s="113"/>
      <c r="B38" s="101" t="s">
        <v>250</v>
      </c>
      <c r="C38" s="85" t="s">
        <v>68</v>
      </c>
      <c r="D38" s="85">
        <v>200</v>
      </c>
      <c r="E38" s="88">
        <v>200</v>
      </c>
      <c r="F38" s="96" t="s">
        <v>6</v>
      </c>
      <c r="G38" s="88" t="str">
        <f t="shared" si="15"/>
        <v>-</v>
      </c>
      <c r="H38" s="88">
        <v>0</v>
      </c>
      <c r="I38" s="88">
        <v>0</v>
      </c>
      <c r="J38" s="40" t="s">
        <v>6</v>
      </c>
      <c r="K38" s="79" t="s">
        <v>6</v>
      </c>
    </row>
    <row r="39" spans="1:31" ht="37.5">
      <c r="A39" s="113"/>
      <c r="B39" s="101" t="s">
        <v>251</v>
      </c>
      <c r="C39" s="85" t="s">
        <v>68</v>
      </c>
      <c r="D39" s="85">
        <v>400</v>
      </c>
      <c r="E39" s="88">
        <v>400</v>
      </c>
      <c r="F39" s="96" t="s">
        <v>6</v>
      </c>
      <c r="G39" s="88" t="str">
        <f t="shared" si="15"/>
        <v>-</v>
      </c>
      <c r="H39" s="88">
        <v>0</v>
      </c>
      <c r="I39" s="88">
        <v>0</v>
      </c>
      <c r="J39" s="40" t="s">
        <v>6</v>
      </c>
      <c r="K39" s="79" t="s">
        <v>6</v>
      </c>
    </row>
    <row r="40" spans="1:31" ht="56.25">
      <c r="A40" s="113"/>
      <c r="B40" s="101" t="s">
        <v>115</v>
      </c>
      <c r="C40" s="85" t="s">
        <v>68</v>
      </c>
      <c r="D40" s="85">
        <v>400</v>
      </c>
      <c r="E40" s="88">
        <v>400</v>
      </c>
      <c r="F40" s="96" t="s">
        <v>6</v>
      </c>
      <c r="G40" s="88" t="str">
        <f t="shared" si="15"/>
        <v>-</v>
      </c>
      <c r="H40" s="88">
        <v>0</v>
      </c>
      <c r="I40" s="88">
        <v>0</v>
      </c>
      <c r="J40" s="40" t="s">
        <v>6</v>
      </c>
      <c r="K40" s="79" t="s">
        <v>6</v>
      </c>
    </row>
    <row r="41" spans="1:31" s="10" customFormat="1" ht="60.75">
      <c r="A41" s="8" t="s">
        <v>19</v>
      </c>
      <c r="B41" s="100" t="s">
        <v>116</v>
      </c>
      <c r="C41" s="77" t="s">
        <v>6</v>
      </c>
      <c r="D41" s="76" t="s">
        <v>6</v>
      </c>
      <c r="E41" s="76" t="s">
        <v>6</v>
      </c>
      <c r="F41" s="96" t="s">
        <v>6</v>
      </c>
      <c r="G41" s="88" t="s">
        <v>6</v>
      </c>
      <c r="H41" s="94">
        <f>H42</f>
        <v>706490.7</v>
      </c>
      <c r="I41" s="94">
        <f>I42</f>
        <v>696365.64999999991</v>
      </c>
      <c r="J41" s="93">
        <f t="shared" ref="J41:J45" si="16">I41/H41</f>
        <v>0.98566853038546709</v>
      </c>
      <c r="K41" s="92">
        <f t="shared" ref="K41:K45" si="17">I41-H41</f>
        <v>-10125.050000000047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ht="56.25">
      <c r="A42" s="84" t="s">
        <v>108</v>
      </c>
      <c r="B42" s="101" t="s">
        <v>107</v>
      </c>
      <c r="C42" s="85" t="s">
        <v>68</v>
      </c>
      <c r="D42" s="88">
        <f>D43+D45+D47</f>
        <v>136</v>
      </c>
      <c r="E42" s="88">
        <f>E43+E45+E47</f>
        <v>136</v>
      </c>
      <c r="F42" s="96" t="s">
        <v>6</v>
      </c>
      <c r="G42" s="88" t="str">
        <f t="shared" si="15"/>
        <v>-</v>
      </c>
      <c r="H42" s="82">
        <f>SUM(H43:H49)</f>
        <v>706490.7</v>
      </c>
      <c r="I42" s="82">
        <f>SUM(I43:I49)</f>
        <v>696365.64999999991</v>
      </c>
      <c r="J42" s="87">
        <f t="shared" si="16"/>
        <v>0.98566853038546709</v>
      </c>
      <c r="K42" s="86">
        <f t="shared" si="17"/>
        <v>-10125.050000000047</v>
      </c>
    </row>
    <row r="43" spans="1:31" ht="37.5">
      <c r="A43" s="113" t="s">
        <v>236</v>
      </c>
      <c r="B43" s="101" t="s">
        <v>112</v>
      </c>
      <c r="C43" s="114" t="s">
        <v>68</v>
      </c>
      <c r="D43" s="115">
        <v>40</v>
      </c>
      <c r="E43" s="115">
        <v>40</v>
      </c>
      <c r="F43" s="116" t="s">
        <v>6</v>
      </c>
      <c r="G43" s="115" t="str">
        <f t="shared" si="15"/>
        <v>-</v>
      </c>
      <c r="H43" s="110">
        <f>5885+66238.8+34876.2</f>
        <v>107000</v>
      </c>
      <c r="I43" s="110">
        <f>49208+49791.96</f>
        <v>98999.959999999992</v>
      </c>
      <c r="J43" s="112">
        <f t="shared" ref="J43" si="18">I43/H43</f>
        <v>0.92523327102803732</v>
      </c>
      <c r="K43" s="111">
        <f t="shared" ref="K43" si="19">I43-H43</f>
        <v>-8000.0400000000081</v>
      </c>
    </row>
    <row r="44" spans="1:31" ht="38.25" customHeight="1">
      <c r="A44" s="113"/>
      <c r="B44" s="101" t="s">
        <v>109</v>
      </c>
      <c r="C44" s="114"/>
      <c r="D44" s="115"/>
      <c r="E44" s="115"/>
      <c r="F44" s="117"/>
      <c r="G44" s="115"/>
      <c r="H44" s="110"/>
      <c r="I44" s="110"/>
      <c r="J44" s="112"/>
      <c r="K44" s="111"/>
    </row>
    <row r="45" spans="1:31" ht="37.5">
      <c r="A45" s="113" t="s">
        <v>237</v>
      </c>
      <c r="B45" s="101" t="s">
        <v>113</v>
      </c>
      <c r="C45" s="114" t="s">
        <v>68</v>
      </c>
      <c r="D45" s="115">
        <v>48</v>
      </c>
      <c r="E45" s="115">
        <v>48</v>
      </c>
      <c r="F45" s="116" t="s">
        <v>6</v>
      </c>
      <c r="G45" s="115" t="str">
        <f t="shared" si="15"/>
        <v>-</v>
      </c>
      <c r="H45" s="110">
        <f>16441.3+68543.5+213948.1</f>
        <v>298932.90000000002</v>
      </c>
      <c r="I45" s="110">
        <f>235833.43+63099.43</f>
        <v>298932.86</v>
      </c>
      <c r="J45" s="112">
        <f t="shared" si="16"/>
        <v>0.99999986619070691</v>
      </c>
      <c r="K45" s="111">
        <f t="shared" si="17"/>
        <v>-4.0000000037252903E-2</v>
      </c>
    </row>
    <row r="46" spans="1:31" ht="37.5">
      <c r="A46" s="113"/>
      <c r="B46" s="101" t="s">
        <v>114</v>
      </c>
      <c r="C46" s="114"/>
      <c r="D46" s="115"/>
      <c r="E46" s="115"/>
      <c r="F46" s="117"/>
      <c r="G46" s="115"/>
      <c r="H46" s="110"/>
      <c r="I46" s="110"/>
      <c r="J46" s="112"/>
      <c r="K46" s="111"/>
    </row>
    <row r="47" spans="1:31">
      <c r="A47" s="113" t="s">
        <v>238</v>
      </c>
      <c r="B47" s="101" t="s">
        <v>110</v>
      </c>
      <c r="C47" s="114" t="s">
        <v>68</v>
      </c>
      <c r="D47" s="115">
        <v>48</v>
      </c>
      <c r="E47" s="115">
        <v>48</v>
      </c>
      <c r="F47" s="116" t="s">
        <v>6</v>
      </c>
      <c r="G47" s="115" t="str">
        <f t="shared" si="15"/>
        <v>-</v>
      </c>
      <c r="H47" s="110">
        <f>16413.7+68071+213948.1</f>
        <v>298432.8</v>
      </c>
      <c r="I47" s="110">
        <f>235833.43+62599.4</f>
        <v>298432.83</v>
      </c>
      <c r="J47" s="112">
        <f t="shared" ref="J47" si="20">I47/H47</f>
        <v>1.0000001005251435</v>
      </c>
      <c r="K47" s="111">
        <f t="shared" ref="K47" si="21">I47-H47</f>
        <v>3.0000000027939677E-2</v>
      </c>
    </row>
    <row r="48" spans="1:31" ht="56.25">
      <c r="A48" s="113"/>
      <c r="B48" s="101" t="s">
        <v>115</v>
      </c>
      <c r="C48" s="114"/>
      <c r="D48" s="115"/>
      <c r="E48" s="115"/>
      <c r="F48" s="117"/>
      <c r="G48" s="115"/>
      <c r="H48" s="110"/>
      <c r="I48" s="110"/>
      <c r="J48" s="112"/>
      <c r="K48" s="111"/>
    </row>
    <row r="49" spans="1:31" ht="37.5" customHeight="1">
      <c r="A49" s="84" t="s">
        <v>239</v>
      </c>
      <c r="B49" s="101" t="s">
        <v>111</v>
      </c>
      <c r="C49" s="85" t="s">
        <v>6</v>
      </c>
      <c r="D49" s="88" t="s">
        <v>6</v>
      </c>
      <c r="E49" s="88" t="s">
        <v>6</v>
      </c>
      <c r="F49" s="89" t="s">
        <v>6</v>
      </c>
      <c r="G49" s="88" t="s">
        <v>6</v>
      </c>
      <c r="H49" s="82">
        <f>116.9+2008.1</f>
        <v>2125</v>
      </c>
      <c r="I49" s="82">
        <v>0</v>
      </c>
      <c r="J49" s="87">
        <f t="shared" ref="J49" si="22">I49/H49</f>
        <v>0</v>
      </c>
      <c r="K49" s="86">
        <f t="shared" ref="K49" si="23">I49-H49</f>
        <v>-2125</v>
      </c>
    </row>
    <row r="50" spans="1:31" s="15" customFormat="1" ht="131.25">
      <c r="A50" s="113" t="s">
        <v>26</v>
      </c>
      <c r="B50" s="101" t="s">
        <v>234</v>
      </c>
      <c r="C50" s="124" t="s">
        <v>25</v>
      </c>
      <c r="D50" s="124">
        <v>100</v>
      </c>
      <c r="E50" s="115" t="s">
        <v>6</v>
      </c>
      <c r="F50" s="117" t="s">
        <v>6</v>
      </c>
      <c r="G50" s="115" t="s">
        <v>6</v>
      </c>
      <c r="H50" s="110">
        <v>38.299999999999997</v>
      </c>
      <c r="I50" s="110" t="s">
        <v>6</v>
      </c>
      <c r="J50" s="112" t="s">
        <v>6</v>
      </c>
      <c r="K50" s="111" t="s">
        <v>6</v>
      </c>
    </row>
    <row r="51" spans="1:31" s="15" customFormat="1" ht="153" customHeight="1">
      <c r="A51" s="113"/>
      <c r="B51" s="101" t="s">
        <v>235</v>
      </c>
      <c r="C51" s="124"/>
      <c r="D51" s="124"/>
      <c r="E51" s="115"/>
      <c r="F51" s="117"/>
      <c r="G51" s="115"/>
      <c r="H51" s="110"/>
      <c r="I51" s="110"/>
      <c r="J51" s="112"/>
      <c r="K51" s="111"/>
    </row>
    <row r="52" spans="1:31" s="31" customFormat="1" ht="20.25">
      <c r="A52" s="123" t="s">
        <v>156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</row>
    <row r="53" spans="1:31" s="10" customFormat="1" ht="40.5">
      <c r="A53" s="8" t="s">
        <v>27</v>
      </c>
      <c r="B53" s="100" t="s">
        <v>106</v>
      </c>
      <c r="C53" s="77" t="s">
        <v>6</v>
      </c>
      <c r="D53" s="76" t="s">
        <v>6</v>
      </c>
      <c r="E53" s="76" t="s">
        <v>6</v>
      </c>
      <c r="F53" s="76" t="s">
        <v>6</v>
      </c>
      <c r="G53" s="76" t="s">
        <v>6</v>
      </c>
      <c r="H53" s="94">
        <f>H54</f>
        <v>3721174.7</v>
      </c>
      <c r="I53" s="94">
        <f>I54</f>
        <v>3720245.2</v>
      </c>
      <c r="J53" s="93">
        <f t="shared" ref="J53" si="24">I53/H53</f>
        <v>0.99975021328614322</v>
      </c>
      <c r="K53" s="92">
        <f t="shared" ref="K53" si="25">I53-H53</f>
        <v>-929.5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ht="37.5">
      <c r="A54" s="113" t="s">
        <v>117</v>
      </c>
      <c r="B54" s="101" t="s">
        <v>118</v>
      </c>
      <c r="C54" s="77" t="s">
        <v>6</v>
      </c>
      <c r="D54" s="77" t="s">
        <v>6</v>
      </c>
      <c r="E54" s="77" t="s">
        <v>6</v>
      </c>
      <c r="F54" s="77" t="s">
        <v>6</v>
      </c>
      <c r="G54" s="77" t="s">
        <v>6</v>
      </c>
      <c r="H54" s="110">
        <f>1450883.5+2270252+H70</f>
        <v>3721174.7</v>
      </c>
      <c r="I54" s="110">
        <f>1449954+2270252+I70</f>
        <v>3720245.2</v>
      </c>
      <c r="J54" s="112">
        <f>I54/H54</f>
        <v>0.99975021328614322</v>
      </c>
      <c r="K54" s="111">
        <f>I54-H54</f>
        <v>-929.5</v>
      </c>
    </row>
    <row r="55" spans="1:31" ht="56.25">
      <c r="A55" s="113"/>
      <c r="B55" s="101" t="s">
        <v>119</v>
      </c>
      <c r="C55" s="85" t="s">
        <v>133</v>
      </c>
      <c r="D55" s="88">
        <v>135593</v>
      </c>
      <c r="E55" s="88">
        <f>49027+66232</f>
        <v>115259</v>
      </c>
      <c r="F55" s="88" t="s">
        <v>6</v>
      </c>
      <c r="G55" s="88">
        <f t="shared" ref="G55:G57" si="26">IF(E55-D55=0,"-",E55-D55)</f>
        <v>-20334</v>
      </c>
      <c r="H55" s="110"/>
      <c r="I55" s="110"/>
      <c r="J55" s="112"/>
      <c r="K55" s="111"/>
    </row>
    <row r="56" spans="1:31" ht="56.25">
      <c r="A56" s="113"/>
      <c r="B56" s="101" t="s">
        <v>123</v>
      </c>
      <c r="C56" s="85" t="s">
        <v>11</v>
      </c>
      <c r="D56" s="85">
        <v>100</v>
      </c>
      <c r="E56" s="88">
        <f>14+84</f>
        <v>98</v>
      </c>
      <c r="F56" s="88" t="s">
        <v>6</v>
      </c>
      <c r="G56" s="88">
        <f t="shared" si="26"/>
        <v>-2</v>
      </c>
      <c r="H56" s="110"/>
      <c r="I56" s="110"/>
      <c r="J56" s="112"/>
      <c r="K56" s="111"/>
    </row>
    <row r="57" spans="1:31" ht="75">
      <c r="A57" s="113"/>
      <c r="B57" s="101" t="s">
        <v>124</v>
      </c>
      <c r="C57" s="85" t="s">
        <v>15</v>
      </c>
      <c r="D57" s="85">
        <v>200</v>
      </c>
      <c r="E57" s="88">
        <f>496+1327</f>
        <v>1823</v>
      </c>
      <c r="F57" s="88" t="s">
        <v>6</v>
      </c>
      <c r="G57" s="88">
        <f t="shared" si="26"/>
        <v>1623</v>
      </c>
      <c r="H57" s="110"/>
      <c r="I57" s="110"/>
      <c r="J57" s="112"/>
      <c r="K57" s="111"/>
    </row>
    <row r="58" spans="1:31" ht="37.5">
      <c r="A58" s="107" t="s">
        <v>134</v>
      </c>
      <c r="B58" s="101" t="s">
        <v>140</v>
      </c>
      <c r="C58" s="85" t="s">
        <v>6</v>
      </c>
      <c r="D58" s="85" t="s">
        <v>6</v>
      </c>
      <c r="E58" s="88" t="s">
        <v>6</v>
      </c>
      <c r="F58" s="88" t="s">
        <v>6</v>
      </c>
      <c r="G58" s="88" t="s">
        <v>6</v>
      </c>
      <c r="H58" s="82">
        <f>728492.88</f>
        <v>728492.88</v>
      </c>
      <c r="I58" s="82">
        <f>728345.96-315-231-1500-61246.7</f>
        <v>665053.26</v>
      </c>
      <c r="J58" s="87">
        <f t="shared" ref="J58:J104" si="27">I58/H58</f>
        <v>0.91291662315217137</v>
      </c>
      <c r="K58" s="86">
        <f t="shared" ref="K58:K104" si="28">I58-H58</f>
        <v>-63439.619999999995</v>
      </c>
    </row>
    <row r="59" spans="1:31" ht="37.5">
      <c r="A59" s="108"/>
      <c r="B59" s="101" t="s">
        <v>135</v>
      </c>
      <c r="C59" s="114" t="s">
        <v>15</v>
      </c>
      <c r="D59" s="114">
        <v>35</v>
      </c>
      <c r="E59" s="115">
        <v>35</v>
      </c>
      <c r="F59" s="115" t="s">
        <v>6</v>
      </c>
      <c r="G59" s="115" t="str">
        <f>IF(E59-D59=0,"-",E59-D59)</f>
        <v>-</v>
      </c>
      <c r="H59" s="110">
        <v>315</v>
      </c>
      <c r="I59" s="110">
        <v>315</v>
      </c>
      <c r="J59" s="112">
        <f t="shared" si="27"/>
        <v>1</v>
      </c>
      <c r="K59" s="111">
        <f t="shared" si="28"/>
        <v>0</v>
      </c>
    </row>
    <row r="60" spans="1:31" ht="37.5">
      <c r="A60" s="108"/>
      <c r="B60" s="101" t="s">
        <v>125</v>
      </c>
      <c r="C60" s="114"/>
      <c r="D60" s="114"/>
      <c r="E60" s="115"/>
      <c r="F60" s="115"/>
      <c r="G60" s="115"/>
      <c r="H60" s="110"/>
      <c r="I60" s="110"/>
      <c r="J60" s="112"/>
      <c r="K60" s="111"/>
    </row>
    <row r="61" spans="1:31" ht="19.5" customHeight="1">
      <c r="A61" s="108"/>
      <c r="B61" s="101" t="s">
        <v>136</v>
      </c>
      <c r="C61" s="114" t="s">
        <v>15</v>
      </c>
      <c r="D61" s="114">
        <v>3</v>
      </c>
      <c r="E61" s="115">
        <v>3</v>
      </c>
      <c r="F61" s="115" t="s">
        <v>6</v>
      </c>
      <c r="G61" s="115" t="str">
        <f>IF(E61-D61=0,"-",E61-D61)</f>
        <v>-</v>
      </c>
      <c r="H61" s="110">
        <v>1500</v>
      </c>
      <c r="I61" s="110">
        <v>1500</v>
      </c>
      <c r="J61" s="112">
        <f t="shared" ref="J61" si="29">I61/H61</f>
        <v>1</v>
      </c>
      <c r="K61" s="111">
        <f t="shared" ref="K61" si="30">I61-H61</f>
        <v>0</v>
      </c>
    </row>
    <row r="62" spans="1:31" ht="56.25">
      <c r="A62" s="108"/>
      <c r="B62" s="101" t="s">
        <v>126</v>
      </c>
      <c r="C62" s="114"/>
      <c r="D62" s="114"/>
      <c r="E62" s="115"/>
      <c r="F62" s="115"/>
      <c r="G62" s="115"/>
      <c r="H62" s="110"/>
      <c r="I62" s="110"/>
      <c r="J62" s="112"/>
      <c r="K62" s="111"/>
    </row>
    <row r="63" spans="1:31">
      <c r="A63" s="108"/>
      <c r="B63" s="101" t="s">
        <v>137</v>
      </c>
      <c r="C63" s="114" t="s">
        <v>15</v>
      </c>
      <c r="D63" s="114">
        <v>2</v>
      </c>
      <c r="E63" s="115">
        <v>2</v>
      </c>
      <c r="F63" s="115" t="s">
        <v>6</v>
      </c>
      <c r="G63" s="115" t="str">
        <f t="shared" ref="G63" si="31">IF(E63-D63=0,"-",E63-D63)</f>
        <v>-</v>
      </c>
      <c r="H63" s="110">
        <v>20</v>
      </c>
      <c r="I63" s="110">
        <v>20</v>
      </c>
      <c r="J63" s="112">
        <f t="shared" ref="J63" si="32">I63/H63</f>
        <v>1</v>
      </c>
      <c r="K63" s="111">
        <f t="shared" ref="K63" si="33">I63-H63</f>
        <v>0</v>
      </c>
    </row>
    <row r="64" spans="1:31" ht="37.5">
      <c r="A64" s="108"/>
      <c r="B64" s="101" t="s">
        <v>127</v>
      </c>
      <c r="C64" s="114"/>
      <c r="D64" s="114"/>
      <c r="E64" s="115"/>
      <c r="F64" s="115"/>
      <c r="G64" s="115"/>
      <c r="H64" s="110"/>
      <c r="I64" s="110"/>
      <c r="J64" s="112"/>
      <c r="K64" s="111"/>
    </row>
    <row r="65" spans="1:11" ht="37.5">
      <c r="A65" s="108"/>
      <c r="B65" s="101" t="s">
        <v>138</v>
      </c>
      <c r="C65" s="114" t="s">
        <v>15</v>
      </c>
      <c r="D65" s="114">
        <v>4</v>
      </c>
      <c r="E65" s="115">
        <v>4</v>
      </c>
      <c r="F65" s="117" t="s">
        <v>6</v>
      </c>
      <c r="G65" s="115" t="str">
        <f t="shared" ref="G65" si="34">IF(E65-D65=0,"-",E65-D65)</f>
        <v>-</v>
      </c>
      <c r="H65" s="110">
        <v>200</v>
      </c>
      <c r="I65" s="110">
        <v>200</v>
      </c>
      <c r="J65" s="112">
        <f t="shared" ref="J65" si="35">I65/H65</f>
        <v>1</v>
      </c>
      <c r="K65" s="111">
        <f t="shared" ref="K65" si="36">I65-H65</f>
        <v>0</v>
      </c>
    </row>
    <row r="66" spans="1:11" ht="37.5">
      <c r="A66" s="108"/>
      <c r="B66" s="101" t="s">
        <v>128</v>
      </c>
      <c r="C66" s="114"/>
      <c r="D66" s="114"/>
      <c r="E66" s="115"/>
      <c r="F66" s="117"/>
      <c r="G66" s="115"/>
      <c r="H66" s="110"/>
      <c r="I66" s="110"/>
      <c r="J66" s="112"/>
      <c r="K66" s="111"/>
    </row>
    <row r="67" spans="1:11">
      <c r="A67" s="108"/>
      <c r="B67" s="101" t="s">
        <v>139</v>
      </c>
      <c r="C67" s="114" t="s">
        <v>15</v>
      </c>
      <c r="D67" s="114">
        <v>2</v>
      </c>
      <c r="E67" s="115">
        <v>1</v>
      </c>
      <c r="F67" s="134" t="s">
        <v>6</v>
      </c>
      <c r="G67" s="115">
        <f t="shared" ref="G67" si="37">IF(E67-D67=0,"-",E67-D67)</f>
        <v>-1</v>
      </c>
      <c r="H67" s="110">
        <v>11</v>
      </c>
      <c r="I67" s="110">
        <v>11</v>
      </c>
      <c r="J67" s="112">
        <f t="shared" ref="J67" si="38">I67/H67</f>
        <v>1</v>
      </c>
      <c r="K67" s="111">
        <f t="shared" ref="K67" si="39">I67-H67</f>
        <v>0</v>
      </c>
    </row>
    <row r="68" spans="1:11" ht="37.5">
      <c r="A68" s="108"/>
      <c r="B68" s="101" t="s">
        <v>97</v>
      </c>
      <c r="C68" s="114"/>
      <c r="D68" s="114"/>
      <c r="E68" s="115"/>
      <c r="F68" s="134"/>
      <c r="G68" s="115"/>
      <c r="H68" s="110"/>
      <c r="I68" s="110"/>
      <c r="J68" s="112"/>
      <c r="K68" s="111"/>
    </row>
    <row r="69" spans="1:11" ht="150.75" customHeight="1">
      <c r="A69" s="108"/>
      <c r="B69" s="101" t="s">
        <v>141</v>
      </c>
      <c r="C69" s="85" t="s">
        <v>11</v>
      </c>
      <c r="D69" s="85">
        <v>1</v>
      </c>
      <c r="E69" s="88">
        <v>5</v>
      </c>
      <c r="F69" s="89" t="s">
        <v>6</v>
      </c>
      <c r="G69" s="88">
        <f>IF(E69-D69=0,"-",E69-D69)</f>
        <v>4</v>
      </c>
      <c r="H69" s="82">
        <v>1526.4</v>
      </c>
      <c r="I69" s="82">
        <v>1526.4</v>
      </c>
      <c r="J69" s="87">
        <f t="shared" si="27"/>
        <v>1</v>
      </c>
      <c r="K69" s="86">
        <f t="shared" si="28"/>
        <v>0</v>
      </c>
    </row>
    <row r="70" spans="1:11" ht="37.5">
      <c r="A70" s="108"/>
      <c r="B70" s="101" t="s">
        <v>142</v>
      </c>
      <c r="C70" s="114" t="s">
        <v>11</v>
      </c>
      <c r="D70" s="114">
        <v>1</v>
      </c>
      <c r="E70" s="115">
        <v>1</v>
      </c>
      <c r="F70" s="117" t="s">
        <v>6</v>
      </c>
      <c r="G70" s="115" t="s">
        <v>6</v>
      </c>
      <c r="H70" s="110">
        <v>39.200000000000003</v>
      </c>
      <c r="I70" s="110">
        <v>39.200000000000003</v>
      </c>
      <c r="J70" s="112">
        <f t="shared" ref="J70" si="40">I70/H70</f>
        <v>1</v>
      </c>
      <c r="K70" s="111">
        <f t="shared" ref="K70" si="41">I70-H70</f>
        <v>0</v>
      </c>
    </row>
    <row r="71" spans="1:11">
      <c r="A71" s="108"/>
      <c r="B71" s="101" t="s">
        <v>299</v>
      </c>
      <c r="C71" s="114"/>
      <c r="D71" s="114"/>
      <c r="E71" s="115"/>
      <c r="F71" s="117"/>
      <c r="G71" s="115"/>
      <c r="H71" s="110"/>
      <c r="I71" s="110"/>
      <c r="J71" s="112"/>
      <c r="K71" s="111"/>
    </row>
    <row r="72" spans="1:11">
      <c r="A72" s="108"/>
      <c r="B72" s="101" t="s">
        <v>143</v>
      </c>
      <c r="C72" s="85" t="s">
        <v>6</v>
      </c>
      <c r="D72" s="85" t="s">
        <v>6</v>
      </c>
      <c r="E72" s="83" t="s">
        <v>6</v>
      </c>
      <c r="F72" s="90" t="s">
        <v>6</v>
      </c>
      <c r="G72" s="83" t="s">
        <v>6</v>
      </c>
      <c r="H72" s="110">
        <v>61247.1</v>
      </c>
      <c r="I72" s="110">
        <v>61246.7</v>
      </c>
      <c r="J72" s="112">
        <f t="shared" si="27"/>
        <v>0.99999346907853592</v>
      </c>
      <c r="K72" s="111">
        <f t="shared" si="28"/>
        <v>-0.40000000000145519</v>
      </c>
    </row>
    <row r="73" spans="1:11" ht="75">
      <c r="A73" s="108"/>
      <c r="B73" s="101" t="s">
        <v>144</v>
      </c>
      <c r="C73" s="85" t="s">
        <v>11</v>
      </c>
      <c r="D73" s="85">
        <v>72</v>
      </c>
      <c r="E73" s="88">
        <v>76</v>
      </c>
      <c r="F73" s="97" t="s">
        <v>6</v>
      </c>
      <c r="G73" s="88">
        <f t="shared" ref="G73:G74" si="42">IF(E73-D73=0,"-",E73-D73)</f>
        <v>4</v>
      </c>
      <c r="H73" s="110"/>
      <c r="I73" s="110"/>
      <c r="J73" s="112"/>
      <c r="K73" s="111"/>
    </row>
    <row r="74" spans="1:11" ht="73.5" customHeight="1">
      <c r="A74" s="109"/>
      <c r="B74" s="101" t="s">
        <v>145</v>
      </c>
      <c r="C74" s="85" t="s">
        <v>11</v>
      </c>
      <c r="D74" s="85">
        <v>45</v>
      </c>
      <c r="E74" s="88">
        <v>64</v>
      </c>
      <c r="F74" s="97" t="s">
        <v>6</v>
      </c>
      <c r="G74" s="88">
        <f t="shared" si="42"/>
        <v>19</v>
      </c>
      <c r="H74" s="110"/>
      <c r="I74" s="110"/>
      <c r="J74" s="112"/>
      <c r="K74" s="111"/>
    </row>
    <row r="75" spans="1:11">
      <c r="A75" s="113" t="s">
        <v>146</v>
      </c>
      <c r="B75" s="101" t="s">
        <v>226</v>
      </c>
      <c r="C75" s="85" t="s">
        <v>6</v>
      </c>
      <c r="D75" s="85" t="s">
        <v>6</v>
      </c>
      <c r="E75" s="83" t="s">
        <v>6</v>
      </c>
      <c r="F75" s="90" t="s">
        <v>6</v>
      </c>
      <c r="G75" s="83" t="s">
        <v>6</v>
      </c>
      <c r="H75" s="82">
        <v>686390.7</v>
      </c>
      <c r="I75" s="82">
        <f>686388.66-11-3211.7</f>
        <v>683165.96000000008</v>
      </c>
      <c r="J75" s="87">
        <f t="shared" si="27"/>
        <v>0.99530188855997048</v>
      </c>
      <c r="K75" s="86">
        <f t="shared" si="28"/>
        <v>-3224.7399999998743</v>
      </c>
    </row>
    <row r="76" spans="1:11">
      <c r="A76" s="113"/>
      <c r="B76" s="101" t="s">
        <v>139</v>
      </c>
      <c r="C76" s="114" t="s">
        <v>15</v>
      </c>
      <c r="D76" s="114">
        <v>1</v>
      </c>
      <c r="E76" s="115">
        <v>1</v>
      </c>
      <c r="F76" s="130" t="s">
        <v>6</v>
      </c>
      <c r="G76" s="132" t="str">
        <f t="shared" ref="G76" si="43">IF(E76-D76=0,"-",E76-D76)</f>
        <v>-</v>
      </c>
      <c r="H76" s="110">
        <v>11</v>
      </c>
      <c r="I76" s="110">
        <v>11</v>
      </c>
      <c r="J76" s="112">
        <f t="shared" si="27"/>
        <v>1</v>
      </c>
      <c r="K76" s="111">
        <f t="shared" si="28"/>
        <v>0</v>
      </c>
    </row>
    <row r="77" spans="1:11" ht="37.5">
      <c r="A77" s="113"/>
      <c r="B77" s="101" t="s">
        <v>97</v>
      </c>
      <c r="C77" s="114"/>
      <c r="D77" s="114"/>
      <c r="E77" s="115"/>
      <c r="F77" s="131"/>
      <c r="G77" s="133"/>
      <c r="H77" s="110"/>
      <c r="I77" s="110"/>
      <c r="J77" s="112"/>
      <c r="K77" s="111"/>
    </row>
    <row r="78" spans="1:11">
      <c r="A78" s="113"/>
      <c r="B78" s="101" t="s">
        <v>300</v>
      </c>
      <c r="C78" s="114" t="s">
        <v>11</v>
      </c>
      <c r="D78" s="114">
        <v>4</v>
      </c>
      <c r="E78" s="115">
        <v>4</v>
      </c>
      <c r="F78" s="130" t="s">
        <v>6</v>
      </c>
      <c r="G78" s="132">
        <v>4</v>
      </c>
      <c r="H78" s="110">
        <v>3212</v>
      </c>
      <c r="I78" s="110">
        <v>3211.7</v>
      </c>
      <c r="J78" s="112">
        <f t="shared" ref="J78" si="44">I78/H78</f>
        <v>0.99990660024906597</v>
      </c>
      <c r="K78" s="111">
        <f t="shared" ref="K78" si="45">I78-H78</f>
        <v>-0.3000000000001819</v>
      </c>
    </row>
    <row r="79" spans="1:11" ht="60" customHeight="1">
      <c r="A79" s="113"/>
      <c r="B79" s="101" t="s">
        <v>301</v>
      </c>
      <c r="C79" s="114"/>
      <c r="D79" s="114"/>
      <c r="E79" s="115"/>
      <c r="F79" s="131"/>
      <c r="G79" s="133"/>
      <c r="H79" s="110"/>
      <c r="I79" s="110"/>
      <c r="J79" s="112"/>
      <c r="K79" s="111"/>
    </row>
    <row r="80" spans="1:11" ht="93.75">
      <c r="A80" s="113" t="s">
        <v>227</v>
      </c>
      <c r="B80" s="101" t="s">
        <v>147</v>
      </c>
      <c r="C80" s="85" t="s">
        <v>6</v>
      </c>
      <c r="D80" s="85" t="s">
        <v>6</v>
      </c>
      <c r="E80" s="88" t="s">
        <v>6</v>
      </c>
      <c r="F80" s="89" t="s">
        <v>6</v>
      </c>
      <c r="G80" s="88" t="s">
        <v>6</v>
      </c>
      <c r="H80" s="110">
        <f>36000+58230</f>
        <v>94230</v>
      </c>
      <c r="I80" s="110">
        <f>35402.8+57454+597.2</f>
        <v>93454</v>
      </c>
      <c r="J80" s="112">
        <f t="shared" si="27"/>
        <v>0.99176483073331212</v>
      </c>
      <c r="K80" s="111">
        <f t="shared" si="28"/>
        <v>-776</v>
      </c>
    </row>
    <row r="81" spans="1:11">
      <c r="A81" s="113"/>
      <c r="B81" s="101" t="s">
        <v>129</v>
      </c>
      <c r="C81" s="85" t="s">
        <v>133</v>
      </c>
      <c r="D81" s="85">
        <v>56.4</v>
      </c>
      <c r="E81" s="13">
        <v>57.301000000000002</v>
      </c>
      <c r="F81" s="89" t="s">
        <v>6</v>
      </c>
      <c r="G81" s="82">
        <f t="shared" ref="G81:G82" si="46">IF(E81-D81=0,"-",E81-D81)</f>
        <v>0.90100000000000335</v>
      </c>
      <c r="H81" s="110"/>
      <c r="I81" s="110"/>
      <c r="J81" s="112"/>
      <c r="K81" s="111"/>
    </row>
    <row r="82" spans="1:11" ht="56.25" customHeight="1">
      <c r="A82" s="113"/>
      <c r="B82" s="101" t="s">
        <v>130</v>
      </c>
      <c r="C82" s="85" t="s">
        <v>15</v>
      </c>
      <c r="D82" s="85">
        <v>87</v>
      </c>
      <c r="E82" s="88">
        <v>97</v>
      </c>
      <c r="F82" s="89" t="s">
        <v>6</v>
      </c>
      <c r="G82" s="88">
        <f t="shared" si="46"/>
        <v>10</v>
      </c>
      <c r="H82" s="110"/>
      <c r="I82" s="110"/>
      <c r="J82" s="112"/>
      <c r="K82" s="111"/>
    </row>
    <row r="83" spans="1:11" ht="35.25" customHeight="1">
      <c r="A83" s="113" t="s">
        <v>228</v>
      </c>
      <c r="B83" s="101" t="s">
        <v>157</v>
      </c>
      <c r="C83" s="85" t="s">
        <v>6</v>
      </c>
      <c r="D83" s="85" t="s">
        <v>6</v>
      </c>
      <c r="E83" s="88" t="s">
        <v>6</v>
      </c>
      <c r="F83" s="89" t="s">
        <v>6</v>
      </c>
      <c r="G83" s="88" t="s">
        <v>6</v>
      </c>
      <c r="H83" s="110">
        <v>19149.3</v>
      </c>
      <c r="I83" s="110">
        <v>19144.7</v>
      </c>
      <c r="J83" s="112">
        <f t="shared" si="27"/>
        <v>0.99975978234191332</v>
      </c>
      <c r="K83" s="111">
        <f t="shared" si="28"/>
        <v>-4.5999999999985448</v>
      </c>
    </row>
    <row r="84" spans="1:11">
      <c r="A84" s="113"/>
      <c r="B84" s="101" t="s">
        <v>120</v>
      </c>
      <c r="C84" s="85" t="s">
        <v>11</v>
      </c>
      <c r="D84" s="85">
        <v>3</v>
      </c>
      <c r="E84" s="88">
        <v>5</v>
      </c>
      <c r="F84" s="89" t="s">
        <v>6</v>
      </c>
      <c r="G84" s="88">
        <f>IF(E84-D84=0,"-",E84-D84)</f>
        <v>2</v>
      </c>
      <c r="H84" s="110"/>
      <c r="I84" s="110"/>
      <c r="J84" s="112"/>
      <c r="K84" s="111"/>
    </row>
    <row r="85" spans="1:11" ht="37.5">
      <c r="A85" s="113"/>
      <c r="B85" s="101" t="s">
        <v>121</v>
      </c>
      <c r="C85" s="85" t="s">
        <v>11</v>
      </c>
      <c r="D85" s="85">
        <v>3</v>
      </c>
      <c r="E85" s="88">
        <v>3</v>
      </c>
      <c r="F85" s="89" t="s">
        <v>6</v>
      </c>
      <c r="G85" s="88" t="str">
        <f>IF(E85-D85=0,"-",E85-D85)</f>
        <v>-</v>
      </c>
      <c r="H85" s="110"/>
      <c r="I85" s="110"/>
      <c r="J85" s="112"/>
      <c r="K85" s="111"/>
    </row>
    <row r="86" spans="1:11" ht="37.5">
      <c r="A86" s="113"/>
      <c r="B86" s="101" t="s">
        <v>122</v>
      </c>
      <c r="C86" s="85" t="s">
        <v>15</v>
      </c>
      <c r="D86" s="85">
        <v>716</v>
      </c>
      <c r="E86" s="88">
        <v>791</v>
      </c>
      <c r="F86" s="89" t="s">
        <v>6</v>
      </c>
      <c r="G86" s="88">
        <f t="shared" ref="G86" si="47">IF(E86-D86=0,"-",E86-D86)</f>
        <v>75</v>
      </c>
      <c r="H86" s="110"/>
      <c r="I86" s="110"/>
      <c r="J86" s="112"/>
      <c r="K86" s="111"/>
    </row>
    <row r="87" spans="1:11" ht="38.25" customHeight="1">
      <c r="A87" s="113" t="s">
        <v>229</v>
      </c>
      <c r="B87" s="101" t="s">
        <v>158</v>
      </c>
      <c r="C87" s="114" t="s">
        <v>15</v>
      </c>
      <c r="D87" s="115">
        <v>66232</v>
      </c>
      <c r="E87" s="115">
        <v>66232</v>
      </c>
      <c r="F87" s="117" t="s">
        <v>6</v>
      </c>
      <c r="G87" s="115" t="str">
        <f>IF(E87-D87=0,"-",E87-D87)</f>
        <v>-</v>
      </c>
      <c r="H87" s="110">
        <v>1963968.1</v>
      </c>
      <c r="I87" s="110">
        <v>1963968.1</v>
      </c>
      <c r="J87" s="112">
        <f t="shared" ref="J87" si="48">I87/H87</f>
        <v>1</v>
      </c>
      <c r="K87" s="111">
        <f t="shared" ref="K87" si="49">I87-H87</f>
        <v>0</v>
      </c>
    </row>
    <row r="88" spans="1:11" ht="37.5">
      <c r="A88" s="113"/>
      <c r="B88" s="101" t="s">
        <v>298</v>
      </c>
      <c r="C88" s="114"/>
      <c r="D88" s="114"/>
      <c r="E88" s="114"/>
      <c r="F88" s="117"/>
      <c r="G88" s="115"/>
      <c r="H88" s="110"/>
      <c r="I88" s="110"/>
      <c r="J88" s="112"/>
      <c r="K88" s="111"/>
    </row>
    <row r="89" spans="1:11" ht="19.5" customHeight="1">
      <c r="A89" s="113" t="s">
        <v>230</v>
      </c>
      <c r="B89" s="101" t="s">
        <v>153</v>
      </c>
      <c r="C89" s="114" t="s">
        <v>11</v>
      </c>
      <c r="D89" s="114">
        <v>100</v>
      </c>
      <c r="E89" s="115">
        <v>100</v>
      </c>
      <c r="F89" s="117" t="s">
        <v>6</v>
      </c>
      <c r="G89" s="115" t="str">
        <f>IF(E89-D89=0,"-",E89-D89)</f>
        <v>-</v>
      </c>
      <c r="H89" s="110">
        <v>91457.2</v>
      </c>
      <c r="I89" s="110">
        <f>69590.7+20045.1+1821.3+0.1</f>
        <v>91457.2</v>
      </c>
      <c r="J89" s="112">
        <f t="shared" ref="J89" si="50">I89/H89</f>
        <v>1</v>
      </c>
      <c r="K89" s="111">
        <f t="shared" ref="K89" si="51">I89-H89</f>
        <v>0</v>
      </c>
    </row>
    <row r="90" spans="1:11" ht="37.5">
      <c r="A90" s="113"/>
      <c r="B90" s="101" t="s">
        <v>131</v>
      </c>
      <c r="C90" s="114"/>
      <c r="D90" s="114"/>
      <c r="E90" s="115"/>
      <c r="F90" s="117"/>
      <c r="G90" s="115"/>
      <c r="H90" s="110"/>
      <c r="I90" s="110"/>
      <c r="J90" s="112"/>
      <c r="K90" s="111"/>
    </row>
    <row r="91" spans="1:11" ht="37.5">
      <c r="A91" s="113" t="s">
        <v>231</v>
      </c>
      <c r="B91" s="101" t="s">
        <v>154</v>
      </c>
      <c r="C91" s="114" t="s">
        <v>15</v>
      </c>
      <c r="D91" s="115">
        <v>1967</v>
      </c>
      <c r="E91" s="115">
        <v>2041</v>
      </c>
      <c r="F91" s="117" t="s">
        <v>6</v>
      </c>
      <c r="G91" s="115">
        <f>IF(E91-D91=0,"-",E91-D91)</f>
        <v>74</v>
      </c>
      <c r="H91" s="110">
        <v>43157</v>
      </c>
      <c r="I91" s="110">
        <f>36932.7+6224.3</f>
        <v>43157</v>
      </c>
      <c r="J91" s="112">
        <f t="shared" ref="J91" si="52">I91/H91</f>
        <v>1</v>
      </c>
      <c r="K91" s="111">
        <f t="shared" ref="K91" si="53">I91-H91</f>
        <v>0</v>
      </c>
    </row>
    <row r="92" spans="1:11" ht="37.5">
      <c r="A92" s="113"/>
      <c r="B92" s="101" t="s">
        <v>103</v>
      </c>
      <c r="C92" s="114"/>
      <c r="D92" s="115"/>
      <c r="E92" s="115"/>
      <c r="F92" s="117"/>
      <c r="G92" s="115"/>
      <c r="H92" s="110"/>
      <c r="I92" s="110"/>
      <c r="J92" s="112"/>
      <c r="K92" s="111"/>
    </row>
    <row r="93" spans="1:11" ht="37.5">
      <c r="A93" s="113" t="s">
        <v>232</v>
      </c>
      <c r="B93" s="101" t="s">
        <v>159</v>
      </c>
      <c r="C93" s="114" t="s">
        <v>15</v>
      </c>
      <c r="D93" s="115">
        <v>1064</v>
      </c>
      <c r="E93" s="115">
        <v>1048</v>
      </c>
      <c r="F93" s="117" t="s">
        <v>6</v>
      </c>
      <c r="G93" s="115">
        <f>IF(E93-D93=0,"-",E93-D93)</f>
        <v>-16</v>
      </c>
      <c r="H93" s="110">
        <v>51156</v>
      </c>
      <c r="I93" s="110">
        <v>51156</v>
      </c>
      <c r="J93" s="112">
        <f t="shared" ref="J93" si="54">I93/H93</f>
        <v>1</v>
      </c>
      <c r="K93" s="111">
        <f t="shared" ref="K93" si="55">I93-H93</f>
        <v>0</v>
      </c>
    </row>
    <row r="94" spans="1:11" ht="35.25" customHeight="1">
      <c r="A94" s="113"/>
      <c r="B94" s="101" t="s">
        <v>132</v>
      </c>
      <c r="C94" s="114"/>
      <c r="D94" s="115"/>
      <c r="E94" s="115"/>
      <c r="F94" s="117"/>
      <c r="G94" s="115"/>
      <c r="H94" s="110"/>
      <c r="I94" s="110"/>
      <c r="J94" s="112"/>
      <c r="K94" s="111"/>
    </row>
    <row r="95" spans="1:11">
      <c r="A95" s="113" t="s">
        <v>233</v>
      </c>
      <c r="B95" s="101" t="s">
        <v>155</v>
      </c>
      <c r="C95" s="114" t="s">
        <v>11</v>
      </c>
      <c r="D95" s="114">
        <v>46</v>
      </c>
      <c r="E95" s="115">
        <v>46</v>
      </c>
      <c r="F95" s="117" t="s">
        <v>6</v>
      </c>
      <c r="G95" s="115" t="str">
        <f>IF(E95-D95=0,"-",E95-D95)</f>
        <v>-</v>
      </c>
      <c r="H95" s="110">
        <v>43134.400000000001</v>
      </c>
      <c r="I95" s="110">
        <v>43134.400000000001</v>
      </c>
      <c r="J95" s="112">
        <f t="shared" ref="J95" si="56">I95/H95</f>
        <v>1</v>
      </c>
      <c r="K95" s="111">
        <f t="shared" ref="K95" si="57">I95-H95</f>
        <v>0</v>
      </c>
    </row>
    <row r="96" spans="1:11" ht="55.5" customHeight="1">
      <c r="A96" s="113"/>
      <c r="B96" s="101" t="s">
        <v>301</v>
      </c>
      <c r="C96" s="114"/>
      <c r="D96" s="114"/>
      <c r="E96" s="115"/>
      <c r="F96" s="117"/>
      <c r="G96" s="115"/>
      <c r="H96" s="110"/>
      <c r="I96" s="110"/>
      <c r="J96" s="112"/>
      <c r="K96" s="111"/>
    </row>
    <row r="97" spans="1:31" s="33" customFormat="1" ht="20.25">
      <c r="A97" s="8" t="s">
        <v>28</v>
      </c>
      <c r="B97" s="103" t="s">
        <v>164</v>
      </c>
      <c r="C97" s="56" t="s">
        <v>6</v>
      </c>
      <c r="D97" s="56" t="s">
        <v>6</v>
      </c>
      <c r="E97" s="22" t="s">
        <v>6</v>
      </c>
      <c r="F97" s="12" t="s">
        <v>6</v>
      </c>
      <c r="G97" s="22" t="s">
        <v>6</v>
      </c>
      <c r="H97" s="94">
        <f>H98+H100</f>
        <v>62961.799999999996</v>
      </c>
      <c r="I97" s="94">
        <f>I98+I100</f>
        <v>57211.7</v>
      </c>
      <c r="J97" s="93">
        <f t="shared" si="27"/>
        <v>0.9086731954931403</v>
      </c>
      <c r="K97" s="92">
        <f t="shared" si="28"/>
        <v>-5750.0999999999985</v>
      </c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ht="112.5">
      <c r="A98" s="113" t="s">
        <v>163</v>
      </c>
      <c r="B98" s="101" t="s">
        <v>162</v>
      </c>
      <c r="C98" s="114" t="s">
        <v>11</v>
      </c>
      <c r="D98" s="114">
        <v>1</v>
      </c>
      <c r="E98" s="115">
        <v>1</v>
      </c>
      <c r="F98" s="134"/>
      <c r="G98" s="115" t="str">
        <f>IF(E98-D98=0,"-",E98-D98)</f>
        <v>-</v>
      </c>
      <c r="H98" s="110">
        <f>48629.9+8581.8</f>
        <v>57211.7</v>
      </c>
      <c r="I98" s="110">
        <v>57211.7</v>
      </c>
      <c r="J98" s="112">
        <f t="shared" si="27"/>
        <v>1</v>
      </c>
      <c r="K98" s="111">
        <f t="shared" si="28"/>
        <v>0</v>
      </c>
    </row>
    <row r="99" spans="1:31" ht="75">
      <c r="A99" s="113"/>
      <c r="B99" s="101" t="s">
        <v>225</v>
      </c>
      <c r="C99" s="114"/>
      <c r="D99" s="114"/>
      <c r="E99" s="115"/>
      <c r="F99" s="134"/>
      <c r="G99" s="115"/>
      <c r="H99" s="110"/>
      <c r="I99" s="110"/>
      <c r="J99" s="112"/>
      <c r="K99" s="111"/>
    </row>
    <row r="100" spans="1:31" ht="56.25">
      <c r="A100" s="107" t="s">
        <v>161</v>
      </c>
      <c r="B100" s="101" t="s">
        <v>160</v>
      </c>
      <c r="C100" s="114" t="s">
        <v>68</v>
      </c>
      <c r="D100" s="115" t="s">
        <v>223</v>
      </c>
      <c r="E100" s="115"/>
      <c r="F100" s="117" t="s">
        <v>6</v>
      </c>
      <c r="G100" s="115" t="s">
        <v>6</v>
      </c>
      <c r="H100" s="110">
        <f>5663.8+86.3</f>
        <v>5750.1</v>
      </c>
      <c r="I100" s="110">
        <v>0</v>
      </c>
      <c r="J100" s="112">
        <f t="shared" si="27"/>
        <v>0</v>
      </c>
      <c r="K100" s="111">
        <f t="shared" si="28"/>
        <v>-5750.1</v>
      </c>
    </row>
    <row r="101" spans="1:31">
      <c r="A101" s="109"/>
      <c r="B101" s="101" t="s">
        <v>224</v>
      </c>
      <c r="C101" s="114"/>
      <c r="D101" s="115"/>
      <c r="E101" s="115"/>
      <c r="F101" s="117"/>
      <c r="G101" s="115"/>
      <c r="H101" s="110"/>
      <c r="I101" s="110"/>
      <c r="J101" s="112"/>
      <c r="K101" s="111"/>
    </row>
    <row r="102" spans="1:31" s="61" customFormat="1" ht="131.25">
      <c r="A102" s="113" t="s">
        <v>29</v>
      </c>
      <c r="B102" s="104" t="s">
        <v>220</v>
      </c>
      <c r="C102" s="142" t="s">
        <v>25</v>
      </c>
      <c r="D102" s="142">
        <v>100</v>
      </c>
      <c r="E102" s="141" t="s">
        <v>6</v>
      </c>
      <c r="F102" s="144" t="s">
        <v>6</v>
      </c>
      <c r="G102" s="141" t="s">
        <v>6</v>
      </c>
      <c r="H102" s="143">
        <v>33.700000000000003</v>
      </c>
      <c r="I102" s="143" t="s">
        <v>6</v>
      </c>
      <c r="J102" s="112" t="s">
        <v>6</v>
      </c>
      <c r="K102" s="111" t="s">
        <v>6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</row>
    <row r="103" spans="1:31" s="61" customFormat="1" ht="150">
      <c r="A103" s="113"/>
      <c r="B103" s="104" t="s">
        <v>221</v>
      </c>
      <c r="C103" s="142"/>
      <c r="D103" s="142"/>
      <c r="E103" s="141"/>
      <c r="F103" s="144"/>
      <c r="G103" s="141"/>
      <c r="H103" s="143"/>
      <c r="I103" s="143"/>
      <c r="J103" s="112"/>
      <c r="K103" s="111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</row>
    <row r="104" spans="1:31" s="62" customFormat="1" ht="60.75">
      <c r="A104" s="137" t="s">
        <v>30</v>
      </c>
      <c r="B104" s="100" t="s">
        <v>165</v>
      </c>
      <c r="C104" s="114" t="s">
        <v>11</v>
      </c>
      <c r="D104" s="115">
        <v>3</v>
      </c>
      <c r="E104" s="115">
        <v>3</v>
      </c>
      <c r="F104" s="117" t="s">
        <v>6</v>
      </c>
      <c r="G104" s="115" t="str">
        <f>IF(E104-D104=0,"-",E104-D104)</f>
        <v>-</v>
      </c>
      <c r="H104" s="140">
        <f>226+172.1+1057.4</f>
        <v>1455.5</v>
      </c>
      <c r="I104" s="140">
        <f>676.1+770.4</f>
        <v>1446.5</v>
      </c>
      <c r="J104" s="139">
        <f t="shared" si="27"/>
        <v>0.99381655788388867</v>
      </c>
      <c r="K104" s="138">
        <f t="shared" si="28"/>
        <v>-9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</row>
    <row r="105" spans="1:31" ht="54" customHeight="1">
      <c r="A105" s="137"/>
      <c r="B105" s="101" t="s">
        <v>219</v>
      </c>
      <c r="C105" s="114"/>
      <c r="D105" s="115"/>
      <c r="E105" s="115"/>
      <c r="F105" s="117"/>
      <c r="G105" s="115"/>
      <c r="H105" s="140"/>
      <c r="I105" s="140"/>
      <c r="J105" s="139"/>
      <c r="K105" s="138"/>
    </row>
    <row r="106" spans="1:31" s="2" customFormat="1" ht="42.75" customHeight="1">
      <c r="A106" s="123" t="s">
        <v>166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</row>
    <row r="107" spans="1:31" s="33" customFormat="1" ht="81">
      <c r="A107" s="8" t="s">
        <v>31</v>
      </c>
      <c r="B107" s="100" t="s">
        <v>167</v>
      </c>
      <c r="C107" s="56" t="s">
        <v>6</v>
      </c>
      <c r="D107" s="56" t="s">
        <v>6</v>
      </c>
      <c r="E107" s="76" t="s">
        <v>6</v>
      </c>
      <c r="F107" s="96" t="s">
        <v>6</v>
      </c>
      <c r="G107" s="76" t="s">
        <v>6</v>
      </c>
      <c r="H107" s="94">
        <f>H108</f>
        <v>66533.400000000009</v>
      </c>
      <c r="I107" s="94">
        <f>I108</f>
        <v>66417.700000000012</v>
      </c>
      <c r="J107" s="93">
        <f>I107/H107</f>
        <v>0.99826102378654935</v>
      </c>
      <c r="K107" s="92">
        <f>I107-H107</f>
        <v>-115.69999999999709</v>
      </c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ht="37.5">
      <c r="A108" s="84" t="s">
        <v>168</v>
      </c>
      <c r="B108" s="101" t="s">
        <v>169</v>
      </c>
      <c r="C108" s="77" t="s">
        <v>6</v>
      </c>
      <c r="D108" s="77" t="s">
        <v>6</v>
      </c>
      <c r="E108" s="77" t="s">
        <v>6</v>
      </c>
      <c r="F108" s="96" t="s">
        <v>6</v>
      </c>
      <c r="G108" s="76" t="s">
        <v>6</v>
      </c>
      <c r="H108" s="82">
        <f>H109+H112+H115</f>
        <v>66533.400000000009</v>
      </c>
      <c r="I108" s="82">
        <f>I109+I112+I115</f>
        <v>66417.700000000012</v>
      </c>
      <c r="J108" s="87">
        <f>I108/H108</f>
        <v>0.99826102378654935</v>
      </c>
      <c r="K108" s="86">
        <f>I108-H108</f>
        <v>-115.69999999999709</v>
      </c>
    </row>
    <row r="109" spans="1:31" ht="20.25">
      <c r="A109" s="113" t="s">
        <v>170</v>
      </c>
      <c r="B109" s="101" t="s">
        <v>171</v>
      </c>
      <c r="C109" s="77" t="s">
        <v>6</v>
      </c>
      <c r="D109" s="77" t="s">
        <v>6</v>
      </c>
      <c r="E109" s="77" t="s">
        <v>6</v>
      </c>
      <c r="F109" s="96" t="s">
        <v>6</v>
      </c>
      <c r="G109" s="76" t="s">
        <v>6</v>
      </c>
      <c r="H109" s="110">
        <f>23526.8+35652.3+0.1</f>
        <v>59179.200000000004</v>
      </c>
      <c r="I109" s="110">
        <f>23440.8+35652.3</f>
        <v>59093.100000000006</v>
      </c>
      <c r="J109" s="112">
        <f>I109/H109</f>
        <v>0.99854509692594695</v>
      </c>
      <c r="K109" s="111">
        <f>I109-H109</f>
        <v>-86.099999999998545</v>
      </c>
    </row>
    <row r="110" spans="1:31" ht="56.25">
      <c r="A110" s="113"/>
      <c r="B110" s="101" t="s">
        <v>173</v>
      </c>
      <c r="C110" s="85" t="s">
        <v>15</v>
      </c>
      <c r="D110" s="88">
        <v>6426</v>
      </c>
      <c r="E110" s="88">
        <v>6700</v>
      </c>
      <c r="F110" s="89" t="s">
        <v>6</v>
      </c>
      <c r="G110" s="88">
        <f t="shared" ref="G110:G111" si="58">IF(E110-D110=0,"-",E110-D110)</f>
        <v>274</v>
      </c>
      <c r="H110" s="110"/>
      <c r="I110" s="110"/>
      <c r="J110" s="112"/>
      <c r="K110" s="111"/>
    </row>
    <row r="111" spans="1:31" ht="75">
      <c r="A111" s="113"/>
      <c r="B111" s="101" t="s">
        <v>174</v>
      </c>
      <c r="C111" s="85" t="s">
        <v>17</v>
      </c>
      <c r="D111" s="88">
        <v>8</v>
      </c>
      <c r="E111" s="35">
        <v>8</v>
      </c>
      <c r="F111" s="89" t="s">
        <v>6</v>
      </c>
      <c r="G111" s="88" t="str">
        <f t="shared" si="58"/>
        <v>-</v>
      </c>
      <c r="H111" s="110"/>
      <c r="I111" s="110"/>
      <c r="J111" s="112"/>
      <c r="K111" s="111"/>
    </row>
    <row r="112" spans="1:31" ht="37.5">
      <c r="A112" s="113" t="s">
        <v>177</v>
      </c>
      <c r="B112" s="101" t="s">
        <v>172</v>
      </c>
      <c r="C112" s="85" t="s">
        <v>6</v>
      </c>
      <c r="D112" s="85" t="s">
        <v>6</v>
      </c>
      <c r="E112" s="85" t="s">
        <v>6</v>
      </c>
      <c r="F112" s="89" t="s">
        <v>6</v>
      </c>
      <c r="G112" s="88" t="s">
        <v>6</v>
      </c>
      <c r="H112" s="110">
        <v>7160.7</v>
      </c>
      <c r="I112" s="110">
        <v>7131.1</v>
      </c>
      <c r="J112" s="112">
        <f>I112/H112</f>
        <v>0.99586632591785729</v>
      </c>
      <c r="K112" s="111">
        <f>I112-H112</f>
        <v>-29.599999999999454</v>
      </c>
    </row>
    <row r="113" spans="1:31" ht="37.5">
      <c r="A113" s="113"/>
      <c r="B113" s="101" t="s">
        <v>175</v>
      </c>
      <c r="C113" s="85" t="s">
        <v>11</v>
      </c>
      <c r="D113" s="88">
        <v>238</v>
      </c>
      <c r="E113" s="88">
        <v>237</v>
      </c>
      <c r="F113" s="89" t="s">
        <v>6</v>
      </c>
      <c r="G113" s="88">
        <f t="shared" ref="G113:G114" si="59">IF(E113-D113=0,"-",E113-D113)</f>
        <v>-1</v>
      </c>
      <c r="H113" s="110"/>
      <c r="I113" s="110"/>
      <c r="J113" s="112"/>
      <c r="K113" s="111"/>
    </row>
    <row r="114" spans="1:31" ht="37.5">
      <c r="A114" s="113"/>
      <c r="B114" s="101" t="s">
        <v>176</v>
      </c>
      <c r="C114" s="85" t="s">
        <v>133</v>
      </c>
      <c r="D114" s="82">
        <v>23</v>
      </c>
      <c r="E114" s="95">
        <v>23.7</v>
      </c>
      <c r="F114" s="89" t="s">
        <v>6</v>
      </c>
      <c r="G114" s="82">
        <f t="shared" si="59"/>
        <v>0.69999999999999929</v>
      </c>
      <c r="H114" s="110"/>
      <c r="I114" s="110"/>
      <c r="J114" s="112"/>
      <c r="K114" s="111"/>
    </row>
    <row r="115" spans="1:31" ht="37.5">
      <c r="A115" s="113" t="s">
        <v>178</v>
      </c>
      <c r="B115" s="101" t="s">
        <v>154</v>
      </c>
      <c r="C115" s="114" t="s">
        <v>15</v>
      </c>
      <c r="D115" s="115">
        <v>40</v>
      </c>
      <c r="E115" s="115">
        <v>40</v>
      </c>
      <c r="F115" s="124" t="s">
        <v>6</v>
      </c>
      <c r="G115" s="124" t="str">
        <f>IF(E115-D115=0,"-",E115-D115)</f>
        <v>-</v>
      </c>
      <c r="H115" s="110">
        <v>193.5</v>
      </c>
      <c r="I115" s="110">
        <f>79.5+114</f>
        <v>193.5</v>
      </c>
      <c r="J115" s="112">
        <f t="shared" ref="J115" si="60">I115/H115</f>
        <v>1</v>
      </c>
      <c r="K115" s="111">
        <f t="shared" ref="K115" si="61">I115-H115</f>
        <v>0</v>
      </c>
    </row>
    <row r="116" spans="1:31" ht="37.5">
      <c r="A116" s="113"/>
      <c r="B116" s="101" t="s">
        <v>103</v>
      </c>
      <c r="C116" s="114"/>
      <c r="D116" s="115"/>
      <c r="E116" s="115"/>
      <c r="F116" s="124"/>
      <c r="G116" s="124"/>
      <c r="H116" s="110"/>
      <c r="I116" s="110"/>
      <c r="J116" s="112"/>
      <c r="K116" s="111"/>
    </row>
    <row r="117" spans="1:31" ht="37.5">
      <c r="A117" s="84" t="s">
        <v>211</v>
      </c>
      <c r="B117" s="105" t="s">
        <v>215</v>
      </c>
      <c r="C117" s="85" t="s">
        <v>11</v>
      </c>
      <c r="D117" s="88">
        <v>1</v>
      </c>
      <c r="E117" s="88">
        <v>1</v>
      </c>
      <c r="F117" s="91" t="s">
        <v>6</v>
      </c>
      <c r="G117" s="88" t="str">
        <f t="shared" ref="G117:G120" si="62">IF(E117-D117=0,"-",E117-D117)</f>
        <v>-</v>
      </c>
      <c r="H117" s="82">
        <v>0</v>
      </c>
      <c r="I117" s="82">
        <v>0</v>
      </c>
      <c r="J117" s="87" t="s">
        <v>6</v>
      </c>
      <c r="K117" s="86" t="s">
        <v>6</v>
      </c>
    </row>
    <row r="118" spans="1:31" ht="36.75" customHeight="1">
      <c r="A118" s="84" t="s">
        <v>212</v>
      </c>
      <c r="B118" s="105" t="s">
        <v>216</v>
      </c>
      <c r="C118" s="85" t="s">
        <v>11</v>
      </c>
      <c r="D118" s="88">
        <v>65</v>
      </c>
      <c r="E118" s="88">
        <v>67</v>
      </c>
      <c r="F118" s="91" t="s">
        <v>6</v>
      </c>
      <c r="G118" s="88">
        <f t="shared" si="62"/>
        <v>2</v>
      </c>
      <c r="H118" s="82">
        <v>0</v>
      </c>
      <c r="I118" s="82">
        <v>0</v>
      </c>
      <c r="J118" s="87" t="s">
        <v>6</v>
      </c>
      <c r="K118" s="86" t="s">
        <v>6</v>
      </c>
    </row>
    <row r="119" spans="1:31" ht="37.5" customHeight="1">
      <c r="A119" s="84" t="s">
        <v>213</v>
      </c>
      <c r="B119" s="105" t="s">
        <v>217</v>
      </c>
      <c r="C119" s="85" t="s">
        <v>11</v>
      </c>
      <c r="D119" s="88">
        <v>470</v>
      </c>
      <c r="E119" s="88">
        <v>507</v>
      </c>
      <c r="F119" s="91" t="s">
        <v>6</v>
      </c>
      <c r="G119" s="88">
        <f t="shared" si="62"/>
        <v>37</v>
      </c>
      <c r="H119" s="82">
        <v>0</v>
      </c>
      <c r="I119" s="82">
        <v>0</v>
      </c>
      <c r="J119" s="87" t="s">
        <v>6</v>
      </c>
      <c r="K119" s="86" t="s">
        <v>6</v>
      </c>
    </row>
    <row r="120" spans="1:31" ht="37.5">
      <c r="A120" s="84" t="s">
        <v>214</v>
      </c>
      <c r="B120" s="105" t="s">
        <v>218</v>
      </c>
      <c r="C120" s="85" t="s">
        <v>11</v>
      </c>
      <c r="D120" s="88">
        <v>62</v>
      </c>
      <c r="E120" s="88">
        <v>63</v>
      </c>
      <c r="F120" s="91" t="s">
        <v>6</v>
      </c>
      <c r="G120" s="88">
        <f t="shared" si="62"/>
        <v>1</v>
      </c>
      <c r="H120" s="82">
        <v>0</v>
      </c>
      <c r="I120" s="82">
        <v>0</v>
      </c>
      <c r="J120" s="87" t="s">
        <v>6</v>
      </c>
      <c r="K120" s="86" t="s">
        <v>6</v>
      </c>
    </row>
    <row r="121" spans="1:31" s="31" customFormat="1" ht="20.25">
      <c r="A121" s="123" t="s">
        <v>179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</row>
    <row r="122" spans="1:31" s="36" customFormat="1" ht="40.5">
      <c r="A122" s="8" t="s">
        <v>32</v>
      </c>
      <c r="B122" s="100" t="s">
        <v>180</v>
      </c>
      <c r="C122" s="63" t="s">
        <v>6</v>
      </c>
      <c r="D122" s="64" t="s">
        <v>6</v>
      </c>
      <c r="E122" s="64" t="s">
        <v>6</v>
      </c>
      <c r="F122" s="65" t="s">
        <v>6</v>
      </c>
      <c r="G122" s="64" t="s">
        <v>6</v>
      </c>
      <c r="H122" s="94">
        <f>H123+H125+H127</f>
        <v>191172.4</v>
      </c>
      <c r="I122" s="94">
        <f>I123+I125+I127</f>
        <v>188761.7</v>
      </c>
      <c r="J122" s="93">
        <f t="shared" ref="J122:J127" si="63">I122/H122</f>
        <v>0.98738991611759863</v>
      </c>
      <c r="K122" s="92">
        <f t="shared" ref="K122:K127" si="64">I122-H122</f>
        <v>-2410.6999999999825</v>
      </c>
    </row>
    <row r="123" spans="1:31" ht="37.5">
      <c r="A123" s="113" t="s">
        <v>181</v>
      </c>
      <c r="B123" s="101" t="s">
        <v>182</v>
      </c>
      <c r="C123" s="114" t="s">
        <v>11</v>
      </c>
      <c r="D123" s="114">
        <v>1</v>
      </c>
      <c r="E123" s="114">
        <v>1</v>
      </c>
      <c r="F123" s="114" t="s">
        <v>6</v>
      </c>
      <c r="G123" s="114" t="str">
        <f t="shared" ref="G123" si="65">IF(E123-D123=0,"-",E123-D123)</f>
        <v>-</v>
      </c>
      <c r="H123" s="110">
        <f>32033.9+10728.3+0.2</f>
        <v>42762.399999999994</v>
      </c>
      <c r="I123" s="110">
        <v>42557.8</v>
      </c>
      <c r="J123" s="112">
        <f t="shared" si="63"/>
        <v>0.99521542289487985</v>
      </c>
      <c r="K123" s="111">
        <f t="shared" si="64"/>
        <v>-204.59999999999127</v>
      </c>
    </row>
    <row r="124" spans="1:31" ht="56.25">
      <c r="A124" s="113"/>
      <c r="B124" s="101" t="s">
        <v>209</v>
      </c>
      <c r="C124" s="114" t="s">
        <v>11</v>
      </c>
      <c r="D124" s="114"/>
      <c r="E124" s="114"/>
      <c r="F124" s="114"/>
      <c r="G124" s="114"/>
      <c r="H124" s="110"/>
      <c r="I124" s="110"/>
      <c r="J124" s="112"/>
      <c r="K124" s="111"/>
    </row>
    <row r="125" spans="1:31" ht="37.5">
      <c r="A125" s="113" t="s">
        <v>191</v>
      </c>
      <c r="B125" s="101" t="s">
        <v>183</v>
      </c>
      <c r="C125" s="114" t="s">
        <v>11</v>
      </c>
      <c r="D125" s="114">
        <v>6</v>
      </c>
      <c r="E125" s="114">
        <v>9</v>
      </c>
      <c r="F125" s="114" t="s">
        <v>6</v>
      </c>
      <c r="G125" s="114">
        <f t="shared" ref="G125" si="66">IF(E125-D125=0,"-",E125-D125)</f>
        <v>3</v>
      </c>
      <c r="H125" s="110">
        <v>300</v>
      </c>
      <c r="I125" s="110">
        <v>300</v>
      </c>
      <c r="J125" s="112">
        <f t="shared" ref="J125" si="67">I125/H125</f>
        <v>1</v>
      </c>
      <c r="K125" s="111">
        <f t="shared" ref="K125" si="68">I125-H125</f>
        <v>0</v>
      </c>
    </row>
    <row r="126" spans="1:31">
      <c r="A126" s="113"/>
      <c r="B126" s="101" t="s">
        <v>210</v>
      </c>
      <c r="C126" s="114"/>
      <c r="D126" s="114"/>
      <c r="E126" s="114"/>
      <c r="F126" s="114"/>
      <c r="G126" s="114"/>
      <c r="H126" s="110"/>
      <c r="I126" s="110"/>
      <c r="J126" s="112"/>
      <c r="K126" s="111"/>
    </row>
    <row r="127" spans="1:31" s="7" customFormat="1" ht="37.5">
      <c r="A127" s="107" t="s">
        <v>190</v>
      </c>
      <c r="B127" s="101" t="s">
        <v>197</v>
      </c>
      <c r="C127" s="85" t="s">
        <v>6</v>
      </c>
      <c r="D127" s="88" t="s">
        <v>6</v>
      </c>
      <c r="E127" s="88" t="s">
        <v>6</v>
      </c>
      <c r="F127" s="65" t="s">
        <v>6</v>
      </c>
      <c r="G127" s="88" t="s">
        <v>6</v>
      </c>
      <c r="H127" s="82">
        <f>SUM(H128:H135)</f>
        <v>148110</v>
      </c>
      <c r="I127" s="82">
        <f>SUM(I128:I135)</f>
        <v>145903.90000000002</v>
      </c>
      <c r="J127" s="87">
        <f t="shared" si="63"/>
        <v>0.98510498953480541</v>
      </c>
      <c r="K127" s="86">
        <f t="shared" si="64"/>
        <v>-2206.0999999999767</v>
      </c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</row>
    <row r="128" spans="1:31">
      <c r="A128" s="108"/>
      <c r="B128" s="101" t="s">
        <v>196</v>
      </c>
      <c r="C128" s="114" t="s">
        <v>15</v>
      </c>
      <c r="D128" s="115">
        <v>872</v>
      </c>
      <c r="E128" s="124">
        <v>872</v>
      </c>
      <c r="F128" s="136" t="s">
        <v>6</v>
      </c>
      <c r="G128" s="124" t="str">
        <f t="shared" ref="G128" si="69">IF(E128-D128=0,"-",E128-D128)</f>
        <v>-</v>
      </c>
      <c r="H128" s="110">
        <v>67953.100000000006</v>
      </c>
      <c r="I128" s="110">
        <v>67953.100000000006</v>
      </c>
      <c r="J128" s="112">
        <f t="shared" ref="J128" si="70">I128/H128</f>
        <v>1</v>
      </c>
      <c r="K128" s="111">
        <f t="shared" ref="K128" si="71">I128-H128</f>
        <v>0</v>
      </c>
    </row>
    <row r="129" spans="1:31">
      <c r="A129" s="108"/>
      <c r="B129" s="101" t="s">
        <v>195</v>
      </c>
      <c r="C129" s="114"/>
      <c r="D129" s="115"/>
      <c r="E129" s="124"/>
      <c r="F129" s="124"/>
      <c r="G129" s="124"/>
      <c r="H129" s="110"/>
      <c r="I129" s="110"/>
      <c r="J129" s="112"/>
      <c r="K129" s="111"/>
    </row>
    <row r="130" spans="1:31">
      <c r="A130" s="108"/>
      <c r="B130" s="101" t="s">
        <v>184</v>
      </c>
      <c r="C130" s="114" t="s">
        <v>15</v>
      </c>
      <c r="D130" s="115">
        <v>77</v>
      </c>
      <c r="E130" s="124">
        <v>82</v>
      </c>
      <c r="F130" s="136" t="s">
        <v>6</v>
      </c>
      <c r="G130" s="124">
        <f t="shared" ref="G130" si="72">IF(E130-D130=0,"-",E130-D130)</f>
        <v>5</v>
      </c>
      <c r="H130" s="110">
        <v>15484</v>
      </c>
      <c r="I130" s="110">
        <v>15216</v>
      </c>
      <c r="J130" s="112">
        <f t="shared" ref="J130" si="73">I130/H130</f>
        <v>0.98269181090157587</v>
      </c>
      <c r="K130" s="111">
        <f t="shared" ref="K130" si="74">I130-H130</f>
        <v>-268</v>
      </c>
    </row>
    <row r="131" spans="1:31">
      <c r="A131" s="108"/>
      <c r="B131" s="101" t="s">
        <v>189</v>
      </c>
      <c r="C131" s="114"/>
      <c r="D131" s="115"/>
      <c r="E131" s="124"/>
      <c r="F131" s="124"/>
      <c r="G131" s="124"/>
      <c r="H131" s="110"/>
      <c r="I131" s="110"/>
      <c r="J131" s="112"/>
      <c r="K131" s="111"/>
    </row>
    <row r="132" spans="1:31" ht="37.5">
      <c r="A132" s="108"/>
      <c r="B132" s="101" t="s">
        <v>185</v>
      </c>
      <c r="C132" s="114" t="s">
        <v>15</v>
      </c>
      <c r="D132" s="115">
        <v>160</v>
      </c>
      <c r="E132" s="124">
        <v>131</v>
      </c>
      <c r="F132" s="136" t="s">
        <v>6</v>
      </c>
      <c r="G132" s="124">
        <f t="shared" ref="G132" si="75">IF(E132-D132=0,"-",E132-D132)</f>
        <v>-29</v>
      </c>
      <c r="H132" s="110">
        <v>2732.9</v>
      </c>
      <c r="I132" s="110">
        <v>2732.8</v>
      </c>
      <c r="J132" s="112">
        <f t="shared" ref="J132" si="76">I132/H132</f>
        <v>0.99996340883310775</v>
      </c>
      <c r="K132" s="111">
        <f t="shared" ref="K132" si="77">I132-H132</f>
        <v>-9.9999999999909051E-2</v>
      </c>
    </row>
    <row r="133" spans="1:31" ht="37.5">
      <c r="A133" s="108"/>
      <c r="B133" s="101" t="s">
        <v>188</v>
      </c>
      <c r="C133" s="114"/>
      <c r="D133" s="115"/>
      <c r="E133" s="124"/>
      <c r="F133" s="124"/>
      <c r="G133" s="124"/>
      <c r="H133" s="110"/>
      <c r="I133" s="110"/>
      <c r="J133" s="112"/>
      <c r="K133" s="111"/>
    </row>
    <row r="134" spans="1:31" ht="59.25" customHeight="1">
      <c r="A134" s="108"/>
      <c r="B134" s="101" t="s">
        <v>186</v>
      </c>
      <c r="C134" s="114" t="s">
        <v>16</v>
      </c>
      <c r="D134" s="110">
        <v>32.6</v>
      </c>
      <c r="E134" s="135">
        <v>35.4</v>
      </c>
      <c r="F134" s="136" t="s">
        <v>6</v>
      </c>
      <c r="G134" s="124">
        <f t="shared" ref="G134" si="78">IF(E134-D134=0,"-",E134-D134)</f>
        <v>2.7999999999999972</v>
      </c>
      <c r="H134" s="110">
        <v>61940</v>
      </c>
      <c r="I134" s="110">
        <v>60002</v>
      </c>
      <c r="J134" s="112">
        <f t="shared" ref="J134" si="79">I134/H134</f>
        <v>0.96871165644171775</v>
      </c>
      <c r="K134" s="111">
        <f t="shared" ref="K134" si="80">I134-H134</f>
        <v>-1938</v>
      </c>
    </row>
    <row r="135" spans="1:31" ht="75">
      <c r="A135" s="109"/>
      <c r="B135" s="101" t="s">
        <v>187</v>
      </c>
      <c r="C135" s="114"/>
      <c r="D135" s="110"/>
      <c r="E135" s="135"/>
      <c r="F135" s="124"/>
      <c r="G135" s="124"/>
      <c r="H135" s="110"/>
      <c r="I135" s="110"/>
      <c r="J135" s="112"/>
      <c r="K135" s="111"/>
    </row>
    <row r="136" spans="1:31" s="31" customFormat="1" ht="20.25">
      <c r="A136" s="123" t="s">
        <v>192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</row>
    <row r="137" spans="1:31" s="36" customFormat="1" ht="81">
      <c r="A137" s="8" t="s">
        <v>33</v>
      </c>
      <c r="B137" s="100" t="s">
        <v>75</v>
      </c>
      <c r="C137" s="56" t="s">
        <v>6</v>
      </c>
      <c r="D137" s="56" t="s">
        <v>6</v>
      </c>
      <c r="E137" s="76" t="s">
        <v>6</v>
      </c>
      <c r="F137" s="96" t="s">
        <v>6</v>
      </c>
      <c r="G137" s="76" t="s">
        <v>6</v>
      </c>
      <c r="H137" s="94">
        <f>H138</f>
        <v>102793</v>
      </c>
      <c r="I137" s="94">
        <f>I138</f>
        <v>102569.3</v>
      </c>
      <c r="J137" s="93">
        <f t="shared" ref="J137:J138" si="81">I137/H137</f>
        <v>0.99782378177502362</v>
      </c>
      <c r="K137" s="80">
        <f t="shared" ref="K137:K138" si="82">I137-H137</f>
        <v>-223.69999999999709</v>
      </c>
    </row>
    <row r="138" spans="1:31" ht="56.25" customHeight="1">
      <c r="A138" s="113" t="s">
        <v>193</v>
      </c>
      <c r="B138" s="101" t="s">
        <v>194</v>
      </c>
      <c r="C138" s="114" t="s">
        <v>11</v>
      </c>
      <c r="D138" s="114">
        <v>240</v>
      </c>
      <c r="E138" s="114">
        <v>239</v>
      </c>
      <c r="F138" s="114" t="s">
        <v>6</v>
      </c>
      <c r="G138" s="114">
        <f t="shared" ref="G138" si="83">IF(E138-D138=0,"-",E138-D138)</f>
        <v>-1</v>
      </c>
      <c r="H138" s="110">
        <f>102748.7+44.3</f>
        <v>102793</v>
      </c>
      <c r="I138" s="110">
        <v>102569.3</v>
      </c>
      <c r="J138" s="112">
        <f t="shared" si="81"/>
        <v>0.99782378177502362</v>
      </c>
      <c r="K138" s="111">
        <f t="shared" si="82"/>
        <v>-223.69999999999709</v>
      </c>
    </row>
    <row r="139" spans="1:31" ht="75">
      <c r="A139" s="113"/>
      <c r="B139" s="101" t="s">
        <v>208</v>
      </c>
      <c r="C139" s="114"/>
      <c r="D139" s="114"/>
      <c r="E139" s="114"/>
      <c r="F139" s="114"/>
      <c r="G139" s="114"/>
      <c r="H139" s="110"/>
      <c r="I139" s="110"/>
      <c r="J139" s="112"/>
      <c r="K139" s="111"/>
    </row>
    <row r="140" spans="1:31" s="30" customFormat="1" ht="20.25">
      <c r="A140" s="122" t="s">
        <v>88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</row>
    <row r="141" spans="1:31" ht="56.25">
      <c r="A141" s="84" t="s">
        <v>18</v>
      </c>
      <c r="B141" s="101" t="s">
        <v>198</v>
      </c>
      <c r="C141" s="85" t="s">
        <v>25</v>
      </c>
      <c r="D141" s="85">
        <v>100</v>
      </c>
      <c r="E141" s="85">
        <v>100</v>
      </c>
      <c r="F141" s="89">
        <f t="shared" ref="F141:F155" si="84">IF(E141/D141&gt;150%,1.5,E141/D141)</f>
        <v>1</v>
      </c>
      <c r="G141" s="88" t="str">
        <f t="shared" ref="G141:G155" si="85">IF(E141-D141=0,"-",E141-D141)</f>
        <v>-</v>
      </c>
      <c r="H141" s="13" t="s">
        <v>6</v>
      </c>
      <c r="I141" s="13" t="s">
        <v>6</v>
      </c>
      <c r="J141" s="40" t="s">
        <v>6</v>
      </c>
      <c r="K141" s="79" t="s">
        <v>6</v>
      </c>
    </row>
    <row r="142" spans="1:31" ht="37.5" customHeight="1">
      <c r="A142" s="84" t="s">
        <v>19</v>
      </c>
      <c r="B142" s="101" t="s">
        <v>254</v>
      </c>
      <c r="C142" s="85" t="s">
        <v>25</v>
      </c>
      <c r="D142" s="85">
        <v>100</v>
      </c>
      <c r="E142" s="85">
        <v>100</v>
      </c>
      <c r="F142" s="89">
        <f t="shared" si="84"/>
        <v>1</v>
      </c>
      <c r="G142" s="88" t="str">
        <f t="shared" si="85"/>
        <v>-</v>
      </c>
      <c r="H142" s="13" t="s">
        <v>6</v>
      </c>
      <c r="I142" s="13" t="s">
        <v>6</v>
      </c>
      <c r="J142" s="40" t="s">
        <v>6</v>
      </c>
      <c r="K142" s="79" t="s">
        <v>6</v>
      </c>
    </row>
    <row r="143" spans="1:31" ht="93.75">
      <c r="A143" s="84" t="s">
        <v>26</v>
      </c>
      <c r="B143" s="101" t="s">
        <v>199</v>
      </c>
      <c r="C143" s="85" t="s">
        <v>25</v>
      </c>
      <c r="D143" s="85">
        <v>1.58</v>
      </c>
      <c r="E143" s="85">
        <v>1.55</v>
      </c>
      <c r="F143" s="89">
        <f t="shared" si="84"/>
        <v>0.98101265822784811</v>
      </c>
      <c r="G143" s="49">
        <f t="shared" si="85"/>
        <v>-3.0000000000000027E-2</v>
      </c>
      <c r="H143" s="13" t="s">
        <v>6</v>
      </c>
      <c r="I143" s="13" t="s">
        <v>6</v>
      </c>
      <c r="J143" s="40" t="s">
        <v>6</v>
      </c>
      <c r="K143" s="79" t="s">
        <v>6</v>
      </c>
    </row>
    <row r="144" spans="1:31" ht="37.5">
      <c r="A144" s="84" t="s">
        <v>27</v>
      </c>
      <c r="B144" s="101" t="s">
        <v>200</v>
      </c>
      <c r="C144" s="85" t="s">
        <v>25</v>
      </c>
      <c r="D144" s="85">
        <v>23.5</v>
      </c>
      <c r="E144" s="85">
        <v>23.5</v>
      </c>
      <c r="F144" s="89">
        <f t="shared" si="84"/>
        <v>1</v>
      </c>
      <c r="G144" s="82" t="str">
        <f t="shared" si="85"/>
        <v>-</v>
      </c>
      <c r="H144" s="13" t="s">
        <v>6</v>
      </c>
      <c r="I144" s="13" t="s">
        <v>6</v>
      </c>
      <c r="J144" s="40" t="s">
        <v>6</v>
      </c>
      <c r="K144" s="79" t="s">
        <v>6</v>
      </c>
    </row>
    <row r="145" spans="1:31" ht="41.25" customHeight="1">
      <c r="A145" s="84" t="s">
        <v>28</v>
      </c>
      <c r="B145" s="101" t="s">
        <v>201</v>
      </c>
      <c r="C145" s="85" t="s">
        <v>25</v>
      </c>
      <c r="D145" s="98">
        <v>100</v>
      </c>
      <c r="E145" s="85">
        <v>100.02</v>
      </c>
      <c r="F145" s="89">
        <f t="shared" si="84"/>
        <v>1.0002</v>
      </c>
      <c r="G145" s="49">
        <f t="shared" si="85"/>
        <v>1.9999999999996021E-2</v>
      </c>
      <c r="H145" s="13" t="s">
        <v>6</v>
      </c>
      <c r="I145" s="13" t="s">
        <v>6</v>
      </c>
      <c r="J145" s="40" t="s">
        <v>6</v>
      </c>
      <c r="K145" s="79" t="s">
        <v>6</v>
      </c>
    </row>
    <row r="146" spans="1:31" ht="75">
      <c r="A146" s="84" t="s">
        <v>29</v>
      </c>
      <c r="B146" s="101" t="s">
        <v>202</v>
      </c>
      <c r="C146" s="85" t="s">
        <v>25</v>
      </c>
      <c r="D146" s="85">
        <v>100</v>
      </c>
      <c r="E146" s="85">
        <v>100</v>
      </c>
      <c r="F146" s="89">
        <f t="shared" si="84"/>
        <v>1</v>
      </c>
      <c r="G146" s="88" t="str">
        <f t="shared" si="85"/>
        <v>-</v>
      </c>
      <c r="H146" s="13" t="s">
        <v>6</v>
      </c>
      <c r="I146" s="13" t="s">
        <v>6</v>
      </c>
      <c r="J146" s="40" t="s">
        <v>6</v>
      </c>
      <c r="K146" s="79" t="s">
        <v>6</v>
      </c>
    </row>
    <row r="147" spans="1:31" ht="37.5">
      <c r="A147" s="84" t="s">
        <v>30</v>
      </c>
      <c r="B147" s="101" t="s">
        <v>203</v>
      </c>
      <c r="C147" s="85" t="s">
        <v>25</v>
      </c>
      <c r="D147" s="85">
        <v>100</v>
      </c>
      <c r="E147" s="85">
        <v>86.8</v>
      </c>
      <c r="F147" s="89">
        <f t="shared" si="84"/>
        <v>0.86799999999999999</v>
      </c>
      <c r="G147" s="82">
        <f t="shared" si="85"/>
        <v>-13.200000000000003</v>
      </c>
      <c r="H147" s="13" t="s">
        <v>6</v>
      </c>
      <c r="I147" s="13" t="s">
        <v>6</v>
      </c>
      <c r="J147" s="40" t="s">
        <v>6</v>
      </c>
      <c r="K147" s="79" t="s">
        <v>6</v>
      </c>
    </row>
    <row r="148" spans="1:31" ht="57.75" customHeight="1">
      <c r="A148" s="84" t="s">
        <v>31</v>
      </c>
      <c r="B148" s="101" t="s">
        <v>38</v>
      </c>
      <c r="C148" s="85" t="s">
        <v>25</v>
      </c>
      <c r="D148" s="85">
        <v>84</v>
      </c>
      <c r="E148" s="85">
        <v>84</v>
      </c>
      <c r="F148" s="89">
        <f t="shared" si="84"/>
        <v>1</v>
      </c>
      <c r="G148" s="88" t="str">
        <f t="shared" si="85"/>
        <v>-</v>
      </c>
      <c r="H148" s="13" t="s">
        <v>6</v>
      </c>
      <c r="I148" s="13" t="s">
        <v>6</v>
      </c>
      <c r="J148" s="40" t="s">
        <v>6</v>
      </c>
      <c r="K148" s="79" t="s">
        <v>6</v>
      </c>
    </row>
    <row r="149" spans="1:31" ht="37.5">
      <c r="A149" s="84" t="s">
        <v>32</v>
      </c>
      <c r="B149" s="101" t="s">
        <v>295</v>
      </c>
      <c r="C149" s="85" t="s">
        <v>25</v>
      </c>
      <c r="D149" s="85">
        <v>90.5</v>
      </c>
      <c r="E149" s="85">
        <v>98.1</v>
      </c>
      <c r="F149" s="89">
        <f t="shared" si="84"/>
        <v>1.0839779005524861</v>
      </c>
      <c r="G149" s="82">
        <f t="shared" si="85"/>
        <v>7.5999999999999943</v>
      </c>
      <c r="H149" s="13" t="s">
        <v>6</v>
      </c>
      <c r="I149" s="13" t="s">
        <v>6</v>
      </c>
      <c r="J149" s="40" t="s">
        <v>6</v>
      </c>
      <c r="K149" s="79" t="s">
        <v>6</v>
      </c>
    </row>
    <row r="150" spans="1:31" ht="56.25">
      <c r="A150" s="84" t="s">
        <v>33</v>
      </c>
      <c r="B150" s="101" t="s">
        <v>39</v>
      </c>
      <c r="C150" s="85" t="s">
        <v>25</v>
      </c>
      <c r="D150" s="81">
        <v>100</v>
      </c>
      <c r="E150" s="85">
        <v>100.5</v>
      </c>
      <c r="F150" s="89">
        <f t="shared" si="84"/>
        <v>1.0049999999999999</v>
      </c>
      <c r="G150" s="82">
        <f t="shared" si="85"/>
        <v>0.5</v>
      </c>
      <c r="H150" s="13" t="s">
        <v>6</v>
      </c>
      <c r="I150" s="13" t="s">
        <v>6</v>
      </c>
      <c r="J150" s="40" t="s">
        <v>6</v>
      </c>
      <c r="K150" s="79" t="s">
        <v>6</v>
      </c>
    </row>
    <row r="151" spans="1:31" ht="41.25" customHeight="1">
      <c r="A151" s="84" t="s">
        <v>34</v>
      </c>
      <c r="B151" s="101" t="s">
        <v>40</v>
      </c>
      <c r="C151" s="85" t="s">
        <v>25</v>
      </c>
      <c r="D151" s="81">
        <v>29</v>
      </c>
      <c r="E151" s="85">
        <v>20.5</v>
      </c>
      <c r="F151" s="89">
        <f t="shared" si="84"/>
        <v>0.7068965517241379</v>
      </c>
      <c r="G151" s="82">
        <f t="shared" si="85"/>
        <v>-8.5</v>
      </c>
      <c r="H151" s="13" t="s">
        <v>6</v>
      </c>
      <c r="I151" s="13" t="s">
        <v>6</v>
      </c>
      <c r="J151" s="40" t="s">
        <v>6</v>
      </c>
      <c r="K151" s="79" t="s">
        <v>6</v>
      </c>
    </row>
    <row r="152" spans="1:31" ht="24" customHeight="1">
      <c r="A152" s="84" t="s">
        <v>35</v>
      </c>
      <c r="B152" s="101" t="s">
        <v>41</v>
      </c>
      <c r="C152" s="85" t="s">
        <v>25</v>
      </c>
      <c r="D152" s="85">
        <v>100</v>
      </c>
      <c r="E152" s="85">
        <v>100</v>
      </c>
      <c r="F152" s="89">
        <f t="shared" si="84"/>
        <v>1</v>
      </c>
      <c r="G152" s="88" t="str">
        <f t="shared" si="85"/>
        <v>-</v>
      </c>
      <c r="H152" s="13" t="s">
        <v>6</v>
      </c>
      <c r="I152" s="13" t="s">
        <v>6</v>
      </c>
      <c r="J152" s="40" t="s">
        <v>6</v>
      </c>
      <c r="K152" s="79" t="s">
        <v>6</v>
      </c>
    </row>
    <row r="153" spans="1:31" ht="93.75">
      <c r="A153" s="84" t="s">
        <v>36</v>
      </c>
      <c r="B153" s="101" t="s">
        <v>204</v>
      </c>
      <c r="C153" s="85" t="s">
        <v>25</v>
      </c>
      <c r="D153" s="85">
        <v>99</v>
      </c>
      <c r="E153" s="85">
        <v>99</v>
      </c>
      <c r="F153" s="89">
        <f t="shared" si="84"/>
        <v>1</v>
      </c>
      <c r="G153" s="88" t="str">
        <f t="shared" si="85"/>
        <v>-</v>
      </c>
      <c r="H153" s="13" t="s">
        <v>6</v>
      </c>
      <c r="I153" s="13" t="s">
        <v>6</v>
      </c>
      <c r="J153" s="40" t="s">
        <v>6</v>
      </c>
      <c r="K153" s="79" t="s">
        <v>6</v>
      </c>
    </row>
    <row r="154" spans="1:31" ht="37.5">
      <c r="A154" s="84" t="s">
        <v>37</v>
      </c>
      <c r="B154" s="101" t="s">
        <v>205</v>
      </c>
      <c r="C154" s="85" t="s">
        <v>25</v>
      </c>
      <c r="D154" s="85">
        <v>100</v>
      </c>
      <c r="E154" s="85">
        <v>100</v>
      </c>
      <c r="F154" s="89">
        <f t="shared" si="84"/>
        <v>1</v>
      </c>
      <c r="G154" s="88" t="str">
        <f t="shared" si="85"/>
        <v>-</v>
      </c>
      <c r="H154" s="13" t="s">
        <v>6</v>
      </c>
      <c r="I154" s="13" t="s">
        <v>6</v>
      </c>
      <c r="J154" s="40" t="s">
        <v>6</v>
      </c>
      <c r="K154" s="79" t="s">
        <v>6</v>
      </c>
    </row>
    <row r="155" spans="1:31" ht="37.5">
      <c r="A155" s="84" t="s">
        <v>49</v>
      </c>
      <c r="B155" s="101" t="s">
        <v>206</v>
      </c>
      <c r="C155" s="85" t="s">
        <v>25</v>
      </c>
      <c r="D155" s="85">
        <v>9.8000000000000007</v>
      </c>
      <c r="E155" s="81">
        <v>14.7</v>
      </c>
      <c r="F155" s="89">
        <f t="shared" si="84"/>
        <v>1.4999999999999998</v>
      </c>
      <c r="G155" s="82">
        <f t="shared" si="85"/>
        <v>4.8999999999999986</v>
      </c>
      <c r="H155" s="13" t="s">
        <v>6</v>
      </c>
      <c r="I155" s="13" t="s">
        <v>6</v>
      </c>
      <c r="J155" s="40" t="s">
        <v>6</v>
      </c>
      <c r="K155" s="79" t="s">
        <v>6</v>
      </c>
    </row>
    <row r="156" spans="1:31" ht="37.5">
      <c r="A156" s="84" t="s">
        <v>62</v>
      </c>
      <c r="B156" s="101" t="s">
        <v>207</v>
      </c>
      <c r="C156" s="85" t="s">
        <v>25</v>
      </c>
      <c r="D156" s="85">
        <v>98.7</v>
      </c>
      <c r="E156" s="81">
        <v>98</v>
      </c>
      <c r="F156" s="89">
        <f t="shared" ref="F156" si="86">IF(E156/D156&gt;150%,1.5,E156/D156)</f>
        <v>0.99290780141843971</v>
      </c>
      <c r="G156" s="82">
        <f t="shared" ref="G156" si="87">IF(E156-D156=0,"-",E156-D156)</f>
        <v>-0.70000000000000284</v>
      </c>
      <c r="H156" s="13" t="s">
        <v>6</v>
      </c>
      <c r="I156" s="13" t="s">
        <v>6</v>
      </c>
      <c r="J156" s="40" t="s">
        <v>6</v>
      </c>
      <c r="K156" s="79" t="s">
        <v>6</v>
      </c>
    </row>
    <row r="157" spans="1:31" s="10" customFormat="1" ht="20.25">
      <c r="A157" s="4"/>
      <c r="B157" s="100" t="s">
        <v>5</v>
      </c>
      <c r="C157" s="77" t="s">
        <v>6</v>
      </c>
      <c r="D157" s="77" t="s">
        <v>6</v>
      </c>
      <c r="E157" s="8" t="s">
        <v>6</v>
      </c>
      <c r="F157" s="12">
        <f>AVERAGE(F141:F156)</f>
        <v>1.0086246819951821</v>
      </c>
      <c r="G157" s="9" t="s">
        <v>6</v>
      </c>
      <c r="H157" s="5">
        <f>H10+H41+H53+H97+H104+H107+H122+H137</f>
        <v>7700710.8000000007</v>
      </c>
      <c r="I157" s="5">
        <f>I10+I41+I53+I97+I104+I107+I122+I137</f>
        <v>7678384.956530001</v>
      </c>
      <c r="J157" s="6">
        <f>I157/H157</f>
        <v>0.99710080743845109</v>
      </c>
      <c r="K157" s="5">
        <f>I157-H157</f>
        <v>-22325.843469999731</v>
      </c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1:31" s="10" customFormat="1" ht="20.25">
      <c r="A158" s="4"/>
      <c r="B158" s="119" t="s">
        <v>222</v>
      </c>
      <c r="C158" s="119"/>
      <c r="D158" s="119"/>
      <c r="E158" s="119"/>
      <c r="F158" s="119"/>
      <c r="G158" s="119"/>
      <c r="H158" s="5">
        <v>7700710.8390100002</v>
      </c>
      <c r="I158" s="5">
        <f>I157</f>
        <v>7678384.956530001</v>
      </c>
      <c r="J158" s="6">
        <f>I158/H158</f>
        <v>0.99710080238737164</v>
      </c>
      <c r="K158" s="5">
        <f>I158-H158</f>
        <v>-22325.882479999214</v>
      </c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1:31" s="10" customFormat="1" ht="20.25">
      <c r="A159" s="4"/>
      <c r="B159" s="120" t="s">
        <v>13</v>
      </c>
      <c r="C159" s="120"/>
      <c r="D159" s="120"/>
      <c r="E159" s="11">
        <f>F157/J158</f>
        <v>1.0115573867559013</v>
      </c>
      <c r="F159" s="121" t="str">
        <f>IF(E159&gt;=80%,"Программа реализуется эффективно","Программа реализуется неэффективно")</f>
        <v>Программа реализуется эффективно</v>
      </c>
      <c r="G159" s="121"/>
      <c r="H159" s="121"/>
      <c r="I159" s="121"/>
      <c r="J159" s="121"/>
      <c r="K159" s="121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2" spans="8:8">
      <c r="H162" s="58"/>
    </row>
  </sheetData>
  <sheetProtection formatCells="0" formatColumns="0" formatRows="0" insertColumns="0" insertRows="0" deleteRows="0" selectLockedCells="1" sort="0" autoFilter="0" pivotTables="0" selectUnlockedCells="1"/>
  <mergeCells count="398">
    <mergeCell ref="K100:K101"/>
    <mergeCell ref="J100:J101"/>
    <mergeCell ref="I100:I101"/>
    <mergeCell ref="H100:H101"/>
    <mergeCell ref="G100:G101"/>
    <mergeCell ref="F100:F101"/>
    <mergeCell ref="G102:G103"/>
    <mergeCell ref="F102:F103"/>
    <mergeCell ref="J89:J90"/>
    <mergeCell ref="K89:K90"/>
    <mergeCell ref="K95:K96"/>
    <mergeCell ref="F95:F96"/>
    <mergeCell ref="G95:G96"/>
    <mergeCell ref="H95:H96"/>
    <mergeCell ref="K102:K103"/>
    <mergeCell ref="J93:J94"/>
    <mergeCell ref="K93:K94"/>
    <mergeCell ref="J91:J92"/>
    <mergeCell ref="K91:K92"/>
    <mergeCell ref="A89:A90"/>
    <mergeCell ref="A93:A94"/>
    <mergeCell ref="C93:C94"/>
    <mergeCell ref="K98:K99"/>
    <mergeCell ref="I72:I74"/>
    <mergeCell ref="H72:H74"/>
    <mergeCell ref="D93:D94"/>
    <mergeCell ref="E93:E94"/>
    <mergeCell ref="G91:G92"/>
    <mergeCell ref="A95:A96"/>
    <mergeCell ref="E95:E96"/>
    <mergeCell ref="A83:A86"/>
    <mergeCell ref="K83:K86"/>
    <mergeCell ref="J83:J86"/>
    <mergeCell ref="I83:I86"/>
    <mergeCell ref="H83:H86"/>
    <mergeCell ref="A75:A79"/>
    <mergeCell ref="A98:A99"/>
    <mergeCell ref="C98:C99"/>
    <mergeCell ref="D98:D99"/>
    <mergeCell ref="E98:E99"/>
    <mergeCell ref="F98:F99"/>
    <mergeCell ref="G98:G99"/>
    <mergeCell ref="H98:H99"/>
    <mergeCell ref="I98:I99"/>
    <mergeCell ref="J98:J99"/>
    <mergeCell ref="I95:I96"/>
    <mergeCell ref="J95:J96"/>
    <mergeCell ref="A102:A103"/>
    <mergeCell ref="J102:J103"/>
    <mergeCell ref="I102:I103"/>
    <mergeCell ref="H102:H103"/>
    <mergeCell ref="C100:C101"/>
    <mergeCell ref="I134:I135"/>
    <mergeCell ref="J134:J135"/>
    <mergeCell ref="K134:K135"/>
    <mergeCell ref="I130:I131"/>
    <mergeCell ref="J130:J131"/>
    <mergeCell ref="J125:J126"/>
    <mergeCell ref="K125:K126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A125:A126"/>
    <mergeCell ref="A106:K106"/>
    <mergeCell ref="I112:I114"/>
    <mergeCell ref="F104:F105"/>
    <mergeCell ref="E104:E105"/>
    <mergeCell ref="D104:D105"/>
    <mergeCell ref="K128:K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C132:C133"/>
    <mergeCell ref="D132:D133"/>
    <mergeCell ref="E132:E133"/>
    <mergeCell ref="F132:F133"/>
    <mergeCell ref="G132:G133"/>
    <mergeCell ref="K130:K131"/>
    <mergeCell ref="A136:K136"/>
    <mergeCell ref="C138:C139"/>
    <mergeCell ref="D138:D139"/>
    <mergeCell ref="E138:E139"/>
    <mergeCell ref="F138:F139"/>
    <mergeCell ref="G138:G139"/>
    <mergeCell ref="H138:H139"/>
    <mergeCell ref="I138:I139"/>
    <mergeCell ref="A138:A139"/>
    <mergeCell ref="J138:J139"/>
    <mergeCell ref="K138:K139"/>
    <mergeCell ref="K132:K133"/>
    <mergeCell ref="C130:C131"/>
    <mergeCell ref="D130:D131"/>
    <mergeCell ref="E130:E131"/>
    <mergeCell ref="F130:F131"/>
    <mergeCell ref="G130:G131"/>
    <mergeCell ref="J132:J133"/>
    <mergeCell ref="H130:H131"/>
    <mergeCell ref="J78:J79"/>
    <mergeCell ref="K78:K79"/>
    <mergeCell ref="A80:A82"/>
    <mergeCell ref="C78:C79"/>
    <mergeCell ref="D78:D79"/>
    <mergeCell ref="E78:E79"/>
    <mergeCell ref="E102:E103"/>
    <mergeCell ref="D102:D103"/>
    <mergeCell ref="C102:C103"/>
    <mergeCell ref="A91:A92"/>
    <mergeCell ref="C91:C92"/>
    <mergeCell ref="D91:D92"/>
    <mergeCell ref="E91:E92"/>
    <mergeCell ref="F91:F92"/>
    <mergeCell ref="F93:F94"/>
    <mergeCell ref="E89:E90"/>
    <mergeCell ref="H80:H82"/>
    <mergeCell ref="K80:K82"/>
    <mergeCell ref="J80:J82"/>
    <mergeCell ref="I80:I82"/>
    <mergeCell ref="G93:G94"/>
    <mergeCell ref="H93:H94"/>
    <mergeCell ref="I93:I94"/>
    <mergeCell ref="K87:K88"/>
    <mergeCell ref="J87:J88"/>
    <mergeCell ref="H87:H88"/>
    <mergeCell ref="G87:G88"/>
    <mergeCell ref="C104:C105"/>
    <mergeCell ref="A104:A105"/>
    <mergeCell ref="K104:K105"/>
    <mergeCell ref="J104:J105"/>
    <mergeCell ref="I104:I105"/>
    <mergeCell ref="H104:H105"/>
    <mergeCell ref="G104:G105"/>
    <mergeCell ref="H91:H92"/>
    <mergeCell ref="I91:I92"/>
    <mergeCell ref="D100:E101"/>
    <mergeCell ref="I87:I88"/>
    <mergeCell ref="F87:F88"/>
    <mergeCell ref="A87:A88"/>
    <mergeCell ref="F89:F90"/>
    <mergeCell ref="C89:C90"/>
    <mergeCell ref="D89:D90"/>
    <mergeCell ref="E87:E88"/>
    <mergeCell ref="D87:D88"/>
    <mergeCell ref="C87:C88"/>
    <mergeCell ref="A100:A101"/>
    <mergeCell ref="A123:A124"/>
    <mergeCell ref="D125:D126"/>
    <mergeCell ref="C123:C124"/>
    <mergeCell ref="C125:C126"/>
    <mergeCell ref="H78:H79"/>
    <mergeCell ref="I78:I79"/>
    <mergeCell ref="C134:C135"/>
    <mergeCell ref="D134:D135"/>
    <mergeCell ref="E134:E135"/>
    <mergeCell ref="F134:F135"/>
    <mergeCell ref="G134:G135"/>
    <mergeCell ref="H132:H133"/>
    <mergeCell ref="I132:I133"/>
    <mergeCell ref="H134:H135"/>
    <mergeCell ref="E125:E126"/>
    <mergeCell ref="F125:F126"/>
    <mergeCell ref="G125:G126"/>
    <mergeCell ref="H125:H126"/>
    <mergeCell ref="I125:I126"/>
    <mergeCell ref="G89:G90"/>
    <mergeCell ref="H89:H90"/>
    <mergeCell ref="I89:I90"/>
    <mergeCell ref="C95:C96"/>
    <mergeCell ref="D95:D96"/>
    <mergeCell ref="H70:H71"/>
    <mergeCell ref="I70:I71"/>
    <mergeCell ref="J70:J71"/>
    <mergeCell ref="K70:K71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C70:C71"/>
    <mergeCell ref="D70:D71"/>
    <mergeCell ref="E70:E71"/>
    <mergeCell ref="F70:F71"/>
    <mergeCell ref="G70:G71"/>
    <mergeCell ref="K72:K74"/>
    <mergeCell ref="J72:J74"/>
    <mergeCell ref="F78:F79"/>
    <mergeCell ref="G78:G79"/>
    <mergeCell ref="D67:D68"/>
    <mergeCell ref="E67:E68"/>
    <mergeCell ref="F67:F68"/>
    <mergeCell ref="G67:G68"/>
    <mergeCell ref="A28:A29"/>
    <mergeCell ref="C28:C29"/>
    <mergeCell ref="D28:D29"/>
    <mergeCell ref="E28:E29"/>
    <mergeCell ref="F28:F29"/>
    <mergeCell ref="A43:A44"/>
    <mergeCell ref="A45:A46"/>
    <mergeCell ref="A47:A48"/>
    <mergeCell ref="A54:A57"/>
    <mergeCell ref="E43:E44"/>
    <mergeCell ref="A37:A40"/>
    <mergeCell ref="A58:A74"/>
    <mergeCell ref="H67:H68"/>
    <mergeCell ref="I67:I68"/>
    <mergeCell ref="I63:I64"/>
    <mergeCell ref="C61:C62"/>
    <mergeCell ref="D61:D62"/>
    <mergeCell ref="E61:E62"/>
    <mergeCell ref="F61:F62"/>
    <mergeCell ref="G61:G62"/>
    <mergeCell ref="J67:J68"/>
    <mergeCell ref="K67:K68"/>
    <mergeCell ref="C67:C68"/>
    <mergeCell ref="J65:J66"/>
    <mergeCell ref="K65:K66"/>
    <mergeCell ref="I54:I57"/>
    <mergeCell ref="H54:H57"/>
    <mergeCell ref="K54:K57"/>
    <mergeCell ref="J54:J57"/>
    <mergeCell ref="C65:C66"/>
    <mergeCell ref="D65:D66"/>
    <mergeCell ref="E65:E66"/>
    <mergeCell ref="F65:F66"/>
    <mergeCell ref="G65:G66"/>
    <mergeCell ref="H61:H62"/>
    <mergeCell ref="I61:I62"/>
    <mergeCell ref="J61:J62"/>
    <mergeCell ref="K61:K62"/>
    <mergeCell ref="C63:C64"/>
    <mergeCell ref="D63:D64"/>
    <mergeCell ref="E63:E64"/>
    <mergeCell ref="F63:F64"/>
    <mergeCell ref="G63:G64"/>
    <mergeCell ref="H63:H64"/>
    <mergeCell ref="J63:J64"/>
    <mergeCell ref="A9:K9"/>
    <mergeCell ref="I14:I15"/>
    <mergeCell ref="H14:H15"/>
    <mergeCell ref="G14:G15"/>
    <mergeCell ref="F14:F15"/>
    <mergeCell ref="E14:E15"/>
    <mergeCell ref="D14:D15"/>
    <mergeCell ref="C14:C15"/>
    <mergeCell ref="I11:I13"/>
    <mergeCell ref="H11:H13"/>
    <mergeCell ref="J11:J13"/>
    <mergeCell ref="K11:K13"/>
    <mergeCell ref="J14:J15"/>
    <mergeCell ref="K14:K15"/>
    <mergeCell ref="K63:K64"/>
    <mergeCell ref="K59:K60"/>
    <mergeCell ref="J59:J60"/>
    <mergeCell ref="I59:I60"/>
    <mergeCell ref="H59:H60"/>
    <mergeCell ref="H65:H66"/>
    <mergeCell ref="I65:I66"/>
    <mergeCell ref="A6:K6"/>
    <mergeCell ref="A50:A51"/>
    <mergeCell ref="E50:E51"/>
    <mergeCell ref="F50:F51"/>
    <mergeCell ref="G50:G51"/>
    <mergeCell ref="H50:H51"/>
    <mergeCell ref="I50:I51"/>
    <mergeCell ref="J50:J51"/>
    <mergeCell ref="K50:K51"/>
    <mergeCell ref="J45:J46"/>
    <mergeCell ref="K45:K46"/>
    <mergeCell ref="K43:K44"/>
    <mergeCell ref="J43:J44"/>
    <mergeCell ref="I43:I44"/>
    <mergeCell ref="H43:H44"/>
    <mergeCell ref="G43:G44"/>
    <mergeCell ref="F43:F44"/>
    <mergeCell ref="A1:K1"/>
    <mergeCell ref="A2:K2"/>
    <mergeCell ref="A4:K4"/>
    <mergeCell ref="A3:K3"/>
    <mergeCell ref="A11:A13"/>
    <mergeCell ref="F59:F60"/>
    <mergeCell ref="E59:E60"/>
    <mergeCell ref="D59:D60"/>
    <mergeCell ref="C59:C60"/>
    <mergeCell ref="G59:G60"/>
    <mergeCell ref="G28:G29"/>
    <mergeCell ref="G32:G33"/>
    <mergeCell ref="A52:K52"/>
    <mergeCell ref="C16:C17"/>
    <mergeCell ref="D16:D17"/>
    <mergeCell ref="E16:E17"/>
    <mergeCell ref="F16:F17"/>
    <mergeCell ref="G16:G17"/>
    <mergeCell ref="H16:H17"/>
    <mergeCell ref="I16:I17"/>
    <mergeCell ref="C50:C51"/>
    <mergeCell ref="H21:H23"/>
    <mergeCell ref="D50:D51"/>
    <mergeCell ref="A5:K5"/>
    <mergeCell ref="B158:G158"/>
    <mergeCell ref="B159:D159"/>
    <mergeCell ref="F159:K159"/>
    <mergeCell ref="A140:K140"/>
    <mergeCell ref="A109:A111"/>
    <mergeCell ref="H109:H111"/>
    <mergeCell ref="I109:I111"/>
    <mergeCell ref="J109:J111"/>
    <mergeCell ref="K109:K111"/>
    <mergeCell ref="A112:A114"/>
    <mergeCell ref="H112:H114"/>
    <mergeCell ref="J112:J114"/>
    <mergeCell ref="K112:K114"/>
    <mergeCell ref="A121:K121"/>
    <mergeCell ref="A115:A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J47:J48"/>
    <mergeCell ref="K47:K48"/>
    <mergeCell ref="C47:C48"/>
    <mergeCell ref="D47:D48"/>
    <mergeCell ref="E47:E48"/>
    <mergeCell ref="F47:F48"/>
    <mergeCell ref="G47:G48"/>
    <mergeCell ref="D43:D44"/>
    <mergeCell ref="C43:C44"/>
    <mergeCell ref="H47:H48"/>
    <mergeCell ref="I47:I48"/>
    <mergeCell ref="C45:C46"/>
    <mergeCell ref="D45:D46"/>
    <mergeCell ref="E45:E46"/>
    <mergeCell ref="F45:F46"/>
    <mergeCell ref="G45:G46"/>
    <mergeCell ref="H45:H46"/>
    <mergeCell ref="I45:I46"/>
    <mergeCell ref="K21:K23"/>
    <mergeCell ref="J24:J27"/>
    <mergeCell ref="K24:K27"/>
    <mergeCell ref="J28:J29"/>
    <mergeCell ref="K28:K29"/>
    <mergeCell ref="J16:J17"/>
    <mergeCell ref="H32:H33"/>
    <mergeCell ref="I32:I33"/>
    <mergeCell ref="A32:A33"/>
    <mergeCell ref="C32:C33"/>
    <mergeCell ref="D32:D33"/>
    <mergeCell ref="E32:E33"/>
    <mergeCell ref="F32:F33"/>
    <mergeCell ref="I28:I29"/>
    <mergeCell ref="A30:A31"/>
    <mergeCell ref="C30:C31"/>
    <mergeCell ref="D30:D31"/>
    <mergeCell ref="E30:E31"/>
    <mergeCell ref="F30:F31"/>
    <mergeCell ref="G30:G31"/>
    <mergeCell ref="H30:H31"/>
    <mergeCell ref="A127:A135"/>
    <mergeCell ref="I18:I20"/>
    <mergeCell ref="H18:H20"/>
    <mergeCell ref="K34:K36"/>
    <mergeCell ref="J34:J36"/>
    <mergeCell ref="I34:I36"/>
    <mergeCell ref="H34:H36"/>
    <mergeCell ref="I30:I31"/>
    <mergeCell ref="J30:J31"/>
    <mergeCell ref="K30:K31"/>
    <mergeCell ref="J32:J33"/>
    <mergeCell ref="K32:K33"/>
    <mergeCell ref="I21:I23"/>
    <mergeCell ref="A24:A27"/>
    <mergeCell ref="H24:H27"/>
    <mergeCell ref="I24:I27"/>
    <mergeCell ref="A21:A23"/>
    <mergeCell ref="H28:H29"/>
    <mergeCell ref="A34:A36"/>
    <mergeCell ref="A14:A20"/>
    <mergeCell ref="K16:K17"/>
    <mergeCell ref="J18:J20"/>
    <mergeCell ref="K18:K20"/>
    <mergeCell ref="J21:J23"/>
  </mergeCells>
  <hyperlinks>
    <hyperlink ref="B56" r:id="rId1" display="http://mobileonline.garant.ru/document/redirect/5632903/0"/>
    <hyperlink ref="B32" r:id="rId2" display="http://mobileonline.garant.ru/document/redirect/10180093/0"/>
  </hyperlinks>
  <printOptions horizontalCentered="1"/>
  <pageMargins left="0.11811023622047245" right="0.11811023622047245" top="0.15748031496062992" bottom="0.15748031496062992" header="0.11811023622047245" footer="0.11811023622047245"/>
  <pageSetup paperSize="9" scale="55" fitToHeight="0" orientation="landscape" r:id="rId3"/>
  <rowBreaks count="8" manualBreakCount="8">
    <brk id="23" max="10" man="1"/>
    <brk id="44" max="10" man="1"/>
    <brk id="60" max="10" man="1"/>
    <brk id="79" max="10" man="1"/>
    <brk id="99" max="10" man="1"/>
    <brk id="105" max="10" man="1"/>
    <brk id="120" max="10" man="1"/>
    <brk id="139" max="10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89"/>
  <sheetViews>
    <sheetView view="pageBreakPreview" topLeftCell="A169" zoomScale="80" zoomScaleNormal="85" zoomScaleSheetLayoutView="80" workbookViewId="0">
      <selection activeCell="A174" sqref="A174:B189"/>
    </sheetView>
  </sheetViews>
  <sheetFormatPr defaultColWidth="9.140625" defaultRowHeight="18.75" outlineLevelRow="1" outlineLevelCol="1"/>
  <cols>
    <col min="1" max="1" width="9.7109375" style="26" customWidth="1"/>
    <col min="2" max="2" width="46.5703125" style="14" customWidth="1"/>
    <col min="3" max="3" width="21.85546875" style="14" customWidth="1"/>
    <col min="4" max="4" width="30.42578125" style="20" customWidth="1"/>
    <col min="5" max="5" width="16.42578125" style="21" bestFit="1" customWidth="1"/>
    <col min="6" max="8" width="15" style="21" bestFit="1" customWidth="1"/>
    <col min="9" max="9" width="15" style="21" customWidth="1"/>
    <col min="10" max="10" width="15" style="21" customWidth="1" outlineLevel="1"/>
    <col min="11" max="11" width="17.5703125" style="21" customWidth="1"/>
    <col min="12" max="16384" width="9.140625" style="14"/>
  </cols>
  <sheetData>
    <row r="1" spans="1:11" ht="16.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3" spans="1:11" s="15" customFormat="1" ht="18.75" customHeight="1">
      <c r="A3" s="171" t="s">
        <v>2</v>
      </c>
      <c r="B3" s="179" t="s">
        <v>89</v>
      </c>
      <c r="C3" s="171" t="s">
        <v>90</v>
      </c>
      <c r="D3" s="171" t="s">
        <v>8</v>
      </c>
      <c r="E3" s="180" t="s">
        <v>12</v>
      </c>
      <c r="F3" s="180"/>
      <c r="G3" s="180"/>
      <c r="H3" s="180"/>
      <c r="I3" s="180"/>
      <c r="J3" s="180"/>
      <c r="K3" s="180"/>
    </row>
    <row r="4" spans="1:11" s="15" customFormat="1" ht="31.5">
      <c r="A4" s="171"/>
      <c r="B4" s="179"/>
      <c r="C4" s="171"/>
      <c r="D4" s="171"/>
      <c r="E4" s="44" t="s">
        <v>9</v>
      </c>
      <c r="F4" s="44" t="s">
        <v>10</v>
      </c>
      <c r="G4" s="44" t="s">
        <v>67</v>
      </c>
      <c r="H4" s="44" t="s">
        <v>69</v>
      </c>
      <c r="I4" s="44" t="s">
        <v>71</v>
      </c>
      <c r="J4" s="72" t="s">
        <v>79</v>
      </c>
      <c r="K4" s="72" t="s">
        <v>80</v>
      </c>
    </row>
    <row r="5" spans="1:11" s="15" customFormat="1">
      <c r="A5" s="161" t="s">
        <v>91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</row>
    <row r="6" spans="1:11" ht="40.5" customHeight="1">
      <c r="A6" s="67" t="s">
        <v>18</v>
      </c>
      <c r="B6" s="161" t="s">
        <v>275</v>
      </c>
      <c r="C6" s="162"/>
      <c r="D6" s="163"/>
      <c r="E6" s="24">
        <f>F6+G6+H6+I6+K6</f>
        <v>11985663.443530001</v>
      </c>
      <c r="F6" s="24">
        <f>F10+F14+F15+F20+F21+F22+F25</f>
        <v>1795771.5</v>
      </c>
      <c r="G6" s="24">
        <f>G10+G14+G15+G20+G21+G22+G25</f>
        <v>2085723.4</v>
      </c>
      <c r="H6" s="24">
        <f>H10+H14+H15+H16+H20+H21+H22+H25</f>
        <v>2274686.9999999995</v>
      </c>
      <c r="I6" s="24">
        <v>2984114.3369999998</v>
      </c>
      <c r="J6" s="24">
        <f>'Отчет_лист 1'!H10</f>
        <v>2848129.3</v>
      </c>
      <c r="K6" s="24">
        <f>'Отчет_лист 1'!I10</f>
        <v>2845367.2065300001</v>
      </c>
    </row>
    <row r="7" spans="1:11" ht="18.75" customHeight="1" outlineLevel="1">
      <c r="A7" s="150" t="s">
        <v>18</v>
      </c>
      <c r="B7" s="153" t="s">
        <v>92</v>
      </c>
      <c r="C7" s="107" t="s">
        <v>255</v>
      </c>
      <c r="D7" s="16" t="s">
        <v>44</v>
      </c>
      <c r="E7" s="24">
        <f t="shared" ref="E7:E12" si="0">F7+G7+H7+I7+K7</f>
        <v>11220813.028859999</v>
      </c>
      <c r="F7" s="66">
        <f t="shared" ref="F7:K7" si="1">F8+F9</f>
        <v>1780240.6</v>
      </c>
      <c r="G7" s="66">
        <f t="shared" si="1"/>
        <v>2012514.7</v>
      </c>
      <c r="H7" s="66">
        <f t="shared" si="1"/>
        <v>2218348.2999999998</v>
      </c>
      <c r="I7" s="66">
        <f t="shared" si="1"/>
        <v>2364342.2288600001</v>
      </c>
      <c r="J7" s="66">
        <f t="shared" si="1"/>
        <v>2848129.4000000004</v>
      </c>
      <c r="K7" s="66">
        <f t="shared" si="1"/>
        <v>2845367.2</v>
      </c>
    </row>
    <row r="8" spans="1:11" outlineLevel="1">
      <c r="A8" s="151"/>
      <c r="B8" s="154"/>
      <c r="C8" s="108"/>
      <c r="D8" s="48" t="s">
        <v>42</v>
      </c>
      <c r="E8" s="24">
        <f t="shared" si="0"/>
        <v>5606402.0115999999</v>
      </c>
      <c r="F8" s="66">
        <f t="shared" ref="F8" si="2">F11+F13</f>
        <v>1039360.3</v>
      </c>
      <c r="G8" s="66">
        <f t="shared" ref="G8" si="3">G11+G13</f>
        <v>1205675.7</v>
      </c>
      <c r="H8" s="66">
        <f t="shared" ref="H8" si="4">H11+H13</f>
        <v>1039063.7</v>
      </c>
      <c r="I8" s="66">
        <f t="shared" ref="I8" si="5">I11+I13</f>
        <v>1006433.3116</v>
      </c>
      <c r="J8" s="66">
        <f t="shared" ref="J8:K8" si="6">J11+J13</f>
        <v>1317059.9000000001</v>
      </c>
      <c r="K8" s="66">
        <f t="shared" si="6"/>
        <v>1315869</v>
      </c>
    </row>
    <row r="9" spans="1:11" outlineLevel="1">
      <c r="A9" s="151"/>
      <c r="B9" s="154"/>
      <c r="C9" s="108"/>
      <c r="D9" s="48" t="s">
        <v>43</v>
      </c>
      <c r="E9" s="24">
        <f t="shared" si="0"/>
        <v>5614411.0172600001</v>
      </c>
      <c r="F9" s="66">
        <f t="shared" ref="F9" si="7">F12</f>
        <v>740880.3</v>
      </c>
      <c r="G9" s="66">
        <f t="shared" ref="G9" si="8">G12</f>
        <v>806839</v>
      </c>
      <c r="H9" s="66">
        <f t="shared" ref="H9" si="9">H12</f>
        <v>1179284.6000000001</v>
      </c>
      <c r="I9" s="66">
        <f t="shared" ref="I9" si="10">I12</f>
        <v>1357908.91726</v>
      </c>
      <c r="J9" s="66">
        <f t="shared" ref="J9:K9" si="11">J12</f>
        <v>1531069.5</v>
      </c>
      <c r="K9" s="66">
        <f t="shared" si="11"/>
        <v>1529498.2</v>
      </c>
    </row>
    <row r="10" spans="1:11" outlineLevel="1">
      <c r="A10" s="151"/>
      <c r="B10" s="154"/>
      <c r="C10" s="113" t="s">
        <v>257</v>
      </c>
      <c r="D10" s="16" t="s">
        <v>44</v>
      </c>
      <c r="E10" s="24">
        <f t="shared" si="0"/>
        <v>11220790.23539</v>
      </c>
      <c r="F10" s="17">
        <f>F11+F12</f>
        <v>1780240.6</v>
      </c>
      <c r="G10" s="17">
        <f t="shared" ref="G10:I10" si="12">G11+G12</f>
        <v>2012514.7</v>
      </c>
      <c r="H10" s="17">
        <f t="shared" si="12"/>
        <v>2218348.2999999998</v>
      </c>
      <c r="I10" s="17">
        <f t="shared" si="12"/>
        <v>2364342.2288600001</v>
      </c>
      <c r="J10" s="17">
        <f>'Отчет_лист 1'!H11-'Отчет_лист 1'!H16</f>
        <v>2848106.5</v>
      </c>
      <c r="K10" s="17">
        <f>'Отчет_лист 1'!I11-'Отчет_лист 1'!I16</f>
        <v>2845344.4065300003</v>
      </c>
    </row>
    <row r="11" spans="1:11" outlineLevel="1">
      <c r="A11" s="151"/>
      <c r="B11" s="154"/>
      <c r="C11" s="113"/>
      <c r="D11" s="48" t="s">
        <v>42</v>
      </c>
      <c r="E11" s="24">
        <f t="shared" si="0"/>
        <v>5606379.2116</v>
      </c>
      <c r="F11" s="17">
        <v>1039360.3</v>
      </c>
      <c r="G11" s="17">
        <v>1205675.7</v>
      </c>
      <c r="H11" s="17">
        <v>1039063.7</v>
      </c>
      <c r="I11" s="17">
        <v>1006433.3116</v>
      </c>
      <c r="J11" s="17">
        <v>1317037.1000000001</v>
      </c>
      <c r="K11" s="17">
        <v>1315846.2</v>
      </c>
    </row>
    <row r="12" spans="1:11" outlineLevel="1">
      <c r="A12" s="151"/>
      <c r="B12" s="154"/>
      <c r="C12" s="113"/>
      <c r="D12" s="48" t="s">
        <v>43</v>
      </c>
      <c r="E12" s="24">
        <f t="shared" si="0"/>
        <v>5614411.0172600001</v>
      </c>
      <c r="F12" s="17">
        <v>740880.3</v>
      </c>
      <c r="G12" s="17">
        <v>806839</v>
      </c>
      <c r="H12" s="17">
        <v>1179284.6000000001</v>
      </c>
      <c r="I12" s="17">
        <v>1357908.91726</v>
      </c>
      <c r="J12" s="17">
        <v>1531069.5</v>
      </c>
      <c r="K12" s="17">
        <v>1529498.2</v>
      </c>
    </row>
    <row r="13" spans="1:11" outlineLevel="1">
      <c r="A13" s="152"/>
      <c r="B13" s="155"/>
      <c r="C13" s="39" t="s">
        <v>256</v>
      </c>
      <c r="D13" s="48" t="s">
        <v>42</v>
      </c>
      <c r="E13" s="24">
        <f>F13+G13+H13+I13+K13</f>
        <v>22.8</v>
      </c>
      <c r="F13" s="17">
        <v>0</v>
      </c>
      <c r="G13" s="17">
        <v>0</v>
      </c>
      <c r="H13" s="17">
        <v>0</v>
      </c>
      <c r="I13" s="17">
        <v>0</v>
      </c>
      <c r="J13" s="17">
        <f>'Отчет_лист 1'!H16</f>
        <v>22.8</v>
      </c>
      <c r="K13" s="17">
        <f>'Отчет_лист 1'!I16</f>
        <v>22.8</v>
      </c>
    </row>
    <row r="14" spans="1:11" ht="37.5" outlineLevel="1">
      <c r="A14" s="39" t="s">
        <v>19</v>
      </c>
      <c r="B14" s="41" t="s">
        <v>51</v>
      </c>
      <c r="C14" s="39" t="s">
        <v>20</v>
      </c>
      <c r="D14" s="48" t="s">
        <v>42</v>
      </c>
      <c r="E14" s="24">
        <f t="shared" ref="E14:E141" si="13">F14+G14+H14+I14+K14</f>
        <v>64919.9</v>
      </c>
      <c r="F14" s="17">
        <v>15530.9</v>
      </c>
      <c r="G14" s="17">
        <v>31215</v>
      </c>
      <c r="H14" s="17">
        <v>6959.9</v>
      </c>
      <c r="I14" s="17">
        <v>11214.1</v>
      </c>
      <c r="J14" s="17">
        <v>0</v>
      </c>
      <c r="K14" s="17">
        <v>0</v>
      </c>
    </row>
    <row r="15" spans="1:11" ht="37.5" outlineLevel="1">
      <c r="A15" s="39" t="s">
        <v>26</v>
      </c>
      <c r="B15" s="41" t="s">
        <v>48</v>
      </c>
      <c r="C15" s="39" t="s">
        <v>20</v>
      </c>
      <c r="D15" s="48" t="s">
        <v>42</v>
      </c>
      <c r="E15" s="24">
        <f t="shared" si="13"/>
        <v>750</v>
      </c>
      <c r="F15" s="17">
        <v>0</v>
      </c>
      <c r="G15" s="17">
        <v>750</v>
      </c>
      <c r="H15" s="17">
        <v>0</v>
      </c>
      <c r="I15" s="17">
        <v>0</v>
      </c>
      <c r="J15" s="17">
        <v>0</v>
      </c>
      <c r="K15" s="17">
        <v>0</v>
      </c>
    </row>
    <row r="16" spans="1:11" outlineLevel="1">
      <c r="A16" s="150" t="s">
        <v>27</v>
      </c>
      <c r="B16" s="153" t="s">
        <v>72</v>
      </c>
      <c r="C16" s="150" t="s">
        <v>61</v>
      </c>
      <c r="D16" s="48" t="s">
        <v>44</v>
      </c>
      <c r="E16" s="24">
        <f t="shared" si="13"/>
        <v>568434.84</v>
      </c>
      <c r="F16" s="17">
        <v>0</v>
      </c>
      <c r="G16" s="17">
        <v>0</v>
      </c>
      <c r="H16" s="17">
        <v>0</v>
      </c>
      <c r="I16" s="17">
        <v>568434.84</v>
      </c>
      <c r="J16" s="17">
        <v>0</v>
      </c>
      <c r="K16" s="17">
        <v>0</v>
      </c>
    </row>
    <row r="17" spans="1:11" outlineLevel="1">
      <c r="A17" s="151"/>
      <c r="B17" s="154"/>
      <c r="C17" s="151"/>
      <c r="D17" s="48" t="s">
        <v>42</v>
      </c>
      <c r="E17" s="24">
        <f t="shared" si="13"/>
        <v>31263.83</v>
      </c>
      <c r="F17" s="17">
        <v>0</v>
      </c>
      <c r="G17" s="17">
        <v>0</v>
      </c>
      <c r="H17" s="17">
        <v>0</v>
      </c>
      <c r="I17" s="17">
        <v>31263.83</v>
      </c>
      <c r="J17" s="17">
        <v>0</v>
      </c>
      <c r="K17" s="17">
        <v>0</v>
      </c>
    </row>
    <row r="18" spans="1:11" outlineLevel="1">
      <c r="A18" s="151"/>
      <c r="B18" s="154"/>
      <c r="C18" s="151"/>
      <c r="D18" s="48" t="s">
        <v>43</v>
      </c>
      <c r="E18" s="24">
        <f t="shared" si="13"/>
        <v>231657.31</v>
      </c>
      <c r="F18" s="17">
        <v>0</v>
      </c>
      <c r="G18" s="17">
        <v>0</v>
      </c>
      <c r="H18" s="17">
        <v>0</v>
      </c>
      <c r="I18" s="17">
        <v>231657.31</v>
      </c>
      <c r="J18" s="17">
        <v>0</v>
      </c>
      <c r="K18" s="17">
        <v>0</v>
      </c>
    </row>
    <row r="19" spans="1:11" outlineLevel="1">
      <c r="A19" s="152"/>
      <c r="B19" s="155"/>
      <c r="C19" s="152"/>
      <c r="D19" s="48" t="s">
        <v>46</v>
      </c>
      <c r="E19" s="24">
        <f t="shared" si="13"/>
        <v>305513.7</v>
      </c>
      <c r="F19" s="17">
        <v>0</v>
      </c>
      <c r="G19" s="17">
        <v>0</v>
      </c>
      <c r="H19" s="17">
        <v>0</v>
      </c>
      <c r="I19" s="17">
        <v>305513.7</v>
      </c>
      <c r="J19" s="17">
        <v>0</v>
      </c>
      <c r="K19" s="17">
        <v>0</v>
      </c>
    </row>
    <row r="20" spans="1:11" ht="37.5" outlineLevel="1">
      <c r="A20" s="39" t="s">
        <v>28</v>
      </c>
      <c r="B20" s="41" t="s">
        <v>50</v>
      </c>
      <c r="C20" s="39" t="s">
        <v>52</v>
      </c>
      <c r="D20" s="48" t="s">
        <v>42</v>
      </c>
      <c r="E20" s="24">
        <f t="shared" si="13"/>
        <v>6931.2</v>
      </c>
      <c r="F20" s="17">
        <v>0</v>
      </c>
      <c r="G20" s="17">
        <v>6931.2</v>
      </c>
      <c r="H20" s="17">
        <v>0</v>
      </c>
      <c r="I20" s="17">
        <v>0</v>
      </c>
      <c r="J20" s="17">
        <v>0</v>
      </c>
      <c r="K20" s="17">
        <v>0</v>
      </c>
    </row>
    <row r="21" spans="1:11" ht="37.5" outlineLevel="1">
      <c r="A21" s="39" t="s">
        <v>29</v>
      </c>
      <c r="B21" s="41" t="s">
        <v>53</v>
      </c>
      <c r="C21" s="39" t="s">
        <v>52</v>
      </c>
      <c r="D21" s="48" t="s">
        <v>42</v>
      </c>
      <c r="E21" s="24">
        <f t="shared" si="13"/>
        <v>3120.9</v>
      </c>
      <c r="F21" s="17">
        <v>0</v>
      </c>
      <c r="G21" s="17">
        <v>1620.9</v>
      </c>
      <c r="H21" s="17">
        <v>1500</v>
      </c>
      <c r="I21" s="17">
        <v>0</v>
      </c>
      <c r="J21" s="17">
        <v>0</v>
      </c>
      <c r="K21" s="17">
        <v>0</v>
      </c>
    </row>
    <row r="22" spans="1:11" outlineLevel="1">
      <c r="A22" s="145" t="s">
        <v>30</v>
      </c>
      <c r="B22" s="167" t="s">
        <v>54</v>
      </c>
      <c r="C22" s="145" t="s">
        <v>52</v>
      </c>
      <c r="D22" s="16" t="s">
        <v>44</v>
      </c>
      <c r="E22" s="24">
        <f t="shared" si="13"/>
        <v>109878.39999999999</v>
      </c>
      <c r="F22" s="17">
        <f>SUM(F23:F24)</f>
        <v>0</v>
      </c>
      <c r="G22" s="17">
        <f t="shared" ref="G22" si="14">SUM(G23:G24)</f>
        <v>21876.5</v>
      </c>
      <c r="H22" s="17">
        <v>47878.8</v>
      </c>
      <c r="I22" s="17">
        <v>40123.1</v>
      </c>
      <c r="J22" s="17">
        <v>0</v>
      </c>
      <c r="K22" s="17">
        <v>0</v>
      </c>
    </row>
    <row r="23" spans="1:11" outlineLevel="1">
      <c r="A23" s="145"/>
      <c r="B23" s="167"/>
      <c r="C23" s="145"/>
      <c r="D23" s="48" t="s">
        <v>42</v>
      </c>
      <c r="E23" s="24">
        <f t="shared" si="13"/>
        <v>78844.100000000006</v>
      </c>
      <c r="F23" s="17">
        <v>0</v>
      </c>
      <c r="G23" s="17">
        <v>13831.7</v>
      </c>
      <c r="H23" s="17">
        <v>34284.5</v>
      </c>
      <c r="I23" s="17">
        <v>30727.9</v>
      </c>
      <c r="J23" s="17">
        <v>0</v>
      </c>
      <c r="K23" s="17">
        <v>0</v>
      </c>
    </row>
    <row r="24" spans="1:11" outlineLevel="1">
      <c r="A24" s="145"/>
      <c r="B24" s="167"/>
      <c r="C24" s="145"/>
      <c r="D24" s="48" t="s">
        <v>43</v>
      </c>
      <c r="E24" s="24">
        <f t="shared" si="13"/>
        <v>31034.3</v>
      </c>
      <c r="F24" s="17">
        <v>0</v>
      </c>
      <c r="G24" s="17">
        <v>8044.8</v>
      </c>
      <c r="H24" s="17">
        <v>13594.3</v>
      </c>
      <c r="I24" s="17">
        <v>9395.2000000000007</v>
      </c>
      <c r="J24" s="17">
        <v>0</v>
      </c>
      <c r="K24" s="17">
        <v>0</v>
      </c>
    </row>
    <row r="25" spans="1:11" outlineLevel="1">
      <c r="A25" s="145" t="s">
        <v>31</v>
      </c>
      <c r="B25" s="167" t="s">
        <v>55</v>
      </c>
      <c r="C25" s="145" t="s">
        <v>52</v>
      </c>
      <c r="D25" s="16" t="s">
        <v>44</v>
      </c>
      <c r="E25" s="24">
        <f t="shared" si="13"/>
        <v>10815.1</v>
      </c>
      <c r="F25" s="17">
        <f>SUM(F26:F27)</f>
        <v>0</v>
      </c>
      <c r="G25" s="17">
        <f t="shared" ref="G25" si="15">SUM(G26:G27)</f>
        <v>10815.1</v>
      </c>
      <c r="H25" s="17">
        <v>0</v>
      </c>
      <c r="I25" s="17">
        <v>0</v>
      </c>
      <c r="J25" s="17">
        <v>0</v>
      </c>
      <c r="K25" s="17">
        <v>0</v>
      </c>
    </row>
    <row r="26" spans="1:11" outlineLevel="1">
      <c r="A26" s="145"/>
      <c r="B26" s="167"/>
      <c r="C26" s="145"/>
      <c r="D26" s="48" t="s">
        <v>42</v>
      </c>
      <c r="E26" s="24">
        <f t="shared" si="13"/>
        <v>2792.5</v>
      </c>
      <c r="F26" s="17">
        <v>0</v>
      </c>
      <c r="G26" s="17">
        <v>2792.5</v>
      </c>
      <c r="H26" s="17">
        <v>0</v>
      </c>
      <c r="I26" s="17">
        <v>0</v>
      </c>
      <c r="J26" s="17">
        <v>0</v>
      </c>
      <c r="K26" s="17">
        <v>0</v>
      </c>
    </row>
    <row r="27" spans="1:11" outlineLevel="1">
      <c r="A27" s="145"/>
      <c r="B27" s="167"/>
      <c r="C27" s="145"/>
      <c r="D27" s="48" t="s">
        <v>43</v>
      </c>
      <c r="E27" s="24">
        <f t="shared" si="13"/>
        <v>8022.6</v>
      </c>
      <c r="F27" s="17">
        <v>0</v>
      </c>
      <c r="G27" s="17">
        <v>8022.6</v>
      </c>
      <c r="H27" s="17">
        <v>0</v>
      </c>
      <c r="I27" s="17">
        <v>0</v>
      </c>
      <c r="J27" s="17">
        <v>0</v>
      </c>
      <c r="K27" s="17">
        <v>0</v>
      </c>
    </row>
    <row r="28" spans="1:11" ht="40.5" customHeight="1">
      <c r="A28" s="71" t="s">
        <v>19</v>
      </c>
      <c r="B28" s="161" t="s">
        <v>276</v>
      </c>
      <c r="C28" s="162"/>
      <c r="D28" s="163"/>
      <c r="E28" s="24">
        <f>F28+G28+H28+I28+K28</f>
        <v>696365.64999999991</v>
      </c>
      <c r="F28" s="24">
        <f>F29</f>
        <v>0</v>
      </c>
      <c r="G28" s="24">
        <f t="shared" ref="G28:I28" si="16">G29</f>
        <v>0</v>
      </c>
      <c r="H28" s="24">
        <f t="shared" si="16"/>
        <v>0</v>
      </c>
      <c r="I28" s="24">
        <f t="shared" si="16"/>
        <v>0</v>
      </c>
      <c r="J28" s="24">
        <f>'Отчет_лист 1'!H41</f>
        <v>706490.7</v>
      </c>
      <c r="K28" s="24">
        <f>'Отчет_лист 1'!I41</f>
        <v>696365.64999999991</v>
      </c>
    </row>
    <row r="29" spans="1:11" outlineLevel="1">
      <c r="A29" s="107" t="s">
        <v>108</v>
      </c>
      <c r="B29" s="153" t="s">
        <v>107</v>
      </c>
      <c r="C29" s="107" t="s">
        <v>258</v>
      </c>
      <c r="D29" s="16" t="s">
        <v>44</v>
      </c>
      <c r="E29" s="24">
        <f t="shared" si="13"/>
        <v>696365.7</v>
      </c>
      <c r="F29" s="24">
        <v>0</v>
      </c>
      <c r="G29" s="24">
        <v>0</v>
      </c>
      <c r="H29" s="24">
        <v>0</v>
      </c>
      <c r="I29" s="24">
        <v>0</v>
      </c>
      <c r="J29" s="24">
        <f t="shared" ref="J29:K32" si="17">J33+J53</f>
        <v>706490.7</v>
      </c>
      <c r="K29" s="24">
        <f t="shared" si="17"/>
        <v>696365.7</v>
      </c>
    </row>
    <row r="30" spans="1:11" outlineLevel="1">
      <c r="A30" s="108"/>
      <c r="B30" s="154"/>
      <c r="C30" s="108"/>
      <c r="D30" s="48" t="s">
        <v>42</v>
      </c>
      <c r="E30" s="24">
        <f t="shared" si="13"/>
        <v>38300</v>
      </c>
      <c r="F30" s="24">
        <v>0</v>
      </c>
      <c r="G30" s="24">
        <v>0</v>
      </c>
      <c r="H30" s="24">
        <v>0</v>
      </c>
      <c r="I30" s="24">
        <v>0</v>
      </c>
      <c r="J30" s="24">
        <f t="shared" si="17"/>
        <v>38856.9</v>
      </c>
      <c r="K30" s="24">
        <f t="shared" si="17"/>
        <v>38300</v>
      </c>
    </row>
    <row r="31" spans="1:11" outlineLevel="1">
      <c r="A31" s="108"/>
      <c r="B31" s="154"/>
      <c r="C31" s="108"/>
      <c r="D31" s="48" t="s">
        <v>43</v>
      </c>
      <c r="E31" s="24">
        <f t="shared" si="13"/>
        <v>195293.3</v>
      </c>
      <c r="F31" s="24">
        <v>0</v>
      </c>
      <c r="G31" s="24">
        <v>0</v>
      </c>
      <c r="H31" s="24">
        <v>0</v>
      </c>
      <c r="I31" s="24">
        <v>0</v>
      </c>
      <c r="J31" s="24">
        <f t="shared" si="17"/>
        <v>204861.4</v>
      </c>
      <c r="K31" s="24">
        <f t="shared" si="17"/>
        <v>195293.3</v>
      </c>
    </row>
    <row r="32" spans="1:11" outlineLevel="1">
      <c r="A32" s="108"/>
      <c r="B32" s="155"/>
      <c r="C32" s="109"/>
      <c r="D32" s="41" t="s">
        <v>46</v>
      </c>
      <c r="E32" s="24">
        <f t="shared" si="13"/>
        <v>462772.4</v>
      </c>
      <c r="F32" s="24">
        <v>0</v>
      </c>
      <c r="G32" s="24">
        <v>0</v>
      </c>
      <c r="H32" s="24">
        <v>0</v>
      </c>
      <c r="I32" s="24">
        <v>0</v>
      </c>
      <c r="J32" s="24">
        <f t="shared" si="17"/>
        <v>462772.4</v>
      </c>
      <c r="K32" s="24">
        <f t="shared" si="17"/>
        <v>462772.4</v>
      </c>
    </row>
    <row r="33" spans="1:11" outlineLevel="1">
      <c r="A33" s="108"/>
      <c r="B33" s="43" t="s">
        <v>260</v>
      </c>
      <c r="C33" s="37" t="s">
        <v>61</v>
      </c>
      <c r="D33" s="16" t="s">
        <v>44</v>
      </c>
      <c r="E33" s="24">
        <f t="shared" ref="E33" si="18">F33+G33+H33+I33+K33</f>
        <v>696365.7</v>
      </c>
      <c r="F33" s="24">
        <f>SUM(F34:F36)</f>
        <v>0</v>
      </c>
      <c r="G33" s="24">
        <f t="shared" ref="G33" si="19">SUM(G34:G36)</f>
        <v>0</v>
      </c>
      <c r="H33" s="24">
        <f t="shared" ref="H33" si="20">SUM(H34:H36)</f>
        <v>0</v>
      </c>
      <c r="I33" s="24">
        <f t="shared" ref="I33" si="21">SUM(I34:I36)</f>
        <v>0</v>
      </c>
      <c r="J33" s="24">
        <f t="shared" ref="J33" si="22">SUM(J34:J36)</f>
        <v>704365.7</v>
      </c>
      <c r="K33" s="24">
        <f t="shared" ref="K33" si="23">SUM(K34:K36)</f>
        <v>696365.7</v>
      </c>
    </row>
    <row r="34" spans="1:11" outlineLevel="1">
      <c r="A34" s="108"/>
      <c r="B34" s="43"/>
      <c r="C34" s="37"/>
      <c r="D34" s="48" t="s">
        <v>42</v>
      </c>
      <c r="E34" s="24">
        <f t="shared" si="13"/>
        <v>38300</v>
      </c>
      <c r="F34" s="24">
        <f>F42+F46+F50</f>
        <v>0</v>
      </c>
      <c r="G34" s="24">
        <f t="shared" ref="G34:I34" si="24">G42+G46+G50</f>
        <v>0</v>
      </c>
      <c r="H34" s="24">
        <f t="shared" si="24"/>
        <v>0</v>
      </c>
      <c r="I34" s="24">
        <f t="shared" si="24"/>
        <v>0</v>
      </c>
      <c r="J34" s="24">
        <f t="shared" ref="J34:K34" si="25">J42+J46+J50</f>
        <v>38740</v>
      </c>
      <c r="K34" s="24">
        <f t="shared" si="25"/>
        <v>38300</v>
      </c>
    </row>
    <row r="35" spans="1:11" outlineLevel="1">
      <c r="A35" s="108"/>
      <c r="B35" s="43"/>
      <c r="C35" s="37"/>
      <c r="D35" s="48" t="s">
        <v>43</v>
      </c>
      <c r="E35" s="24">
        <f t="shared" si="13"/>
        <v>195293.3</v>
      </c>
      <c r="F35" s="24">
        <f t="shared" ref="F35:I36" si="26">F43+F47+F51</f>
        <v>0</v>
      </c>
      <c r="G35" s="24">
        <f t="shared" si="26"/>
        <v>0</v>
      </c>
      <c r="H35" s="24">
        <f t="shared" si="26"/>
        <v>0</v>
      </c>
      <c r="I35" s="24">
        <f t="shared" si="26"/>
        <v>0</v>
      </c>
      <c r="J35" s="24">
        <f t="shared" ref="J35:K35" si="27">J43+J47+J51</f>
        <v>202853.3</v>
      </c>
      <c r="K35" s="24">
        <f t="shared" si="27"/>
        <v>195293.3</v>
      </c>
    </row>
    <row r="36" spans="1:11" outlineLevel="1">
      <c r="A36" s="108"/>
      <c r="B36" s="43"/>
      <c r="C36" s="37"/>
      <c r="D36" s="41" t="s">
        <v>46</v>
      </c>
      <c r="E36" s="24">
        <f t="shared" si="13"/>
        <v>462772.4</v>
      </c>
      <c r="F36" s="24">
        <f t="shared" si="26"/>
        <v>0</v>
      </c>
      <c r="G36" s="24">
        <f t="shared" si="26"/>
        <v>0</v>
      </c>
      <c r="H36" s="24">
        <f t="shared" si="26"/>
        <v>0</v>
      </c>
      <c r="I36" s="24">
        <f t="shared" si="26"/>
        <v>0</v>
      </c>
      <c r="J36" s="24">
        <f t="shared" ref="J36:K36" si="28">J44+J48+J52</f>
        <v>462772.4</v>
      </c>
      <c r="K36" s="24">
        <f t="shared" si="28"/>
        <v>462772.4</v>
      </c>
    </row>
    <row r="37" spans="1:11" outlineLevel="1">
      <c r="A37" s="108"/>
      <c r="B37" s="43"/>
      <c r="C37" s="37" t="s">
        <v>256</v>
      </c>
      <c r="D37" s="16" t="s">
        <v>44</v>
      </c>
      <c r="E37" s="24">
        <f t="shared" si="13"/>
        <v>0</v>
      </c>
      <c r="F37" s="24">
        <f>SUM(F38:F40)</f>
        <v>0</v>
      </c>
      <c r="G37" s="24">
        <f t="shared" ref="G37" si="29">SUM(G38:G40)</f>
        <v>0</v>
      </c>
      <c r="H37" s="24">
        <f t="shared" ref="H37" si="30">SUM(H38:H40)</f>
        <v>0</v>
      </c>
      <c r="I37" s="24">
        <f t="shared" ref="I37" si="31">SUM(I38:I40)</f>
        <v>0</v>
      </c>
      <c r="J37" s="24">
        <f t="shared" ref="J37" si="32">SUM(J38:J40)</f>
        <v>2125</v>
      </c>
      <c r="K37" s="24">
        <f t="shared" ref="K37" si="33">SUM(K38:K40)</f>
        <v>0</v>
      </c>
    </row>
    <row r="38" spans="1:11" outlineLevel="1">
      <c r="A38" s="108"/>
      <c r="B38" s="43"/>
      <c r="C38" s="37"/>
      <c r="D38" s="48" t="s">
        <v>42</v>
      </c>
      <c r="E38" s="24">
        <f t="shared" si="13"/>
        <v>0</v>
      </c>
      <c r="F38" s="24">
        <f>F54</f>
        <v>0</v>
      </c>
      <c r="G38" s="24">
        <f t="shared" ref="G38:K38" si="34">G54</f>
        <v>0</v>
      </c>
      <c r="H38" s="24">
        <f t="shared" si="34"/>
        <v>0</v>
      </c>
      <c r="I38" s="24">
        <f t="shared" si="34"/>
        <v>0</v>
      </c>
      <c r="J38" s="24">
        <f t="shared" si="34"/>
        <v>116.9</v>
      </c>
      <c r="K38" s="24">
        <f t="shared" si="34"/>
        <v>0</v>
      </c>
    </row>
    <row r="39" spans="1:11" outlineLevel="1">
      <c r="A39" s="108"/>
      <c r="B39" s="43"/>
      <c r="C39" s="37"/>
      <c r="D39" s="48" t="s">
        <v>43</v>
      </c>
      <c r="E39" s="24">
        <f t="shared" si="13"/>
        <v>0</v>
      </c>
      <c r="F39" s="24">
        <f t="shared" ref="F39:K40" si="35">F55</f>
        <v>0</v>
      </c>
      <c r="G39" s="24">
        <f t="shared" si="35"/>
        <v>0</v>
      </c>
      <c r="H39" s="24">
        <f t="shared" si="35"/>
        <v>0</v>
      </c>
      <c r="I39" s="24">
        <f t="shared" si="35"/>
        <v>0</v>
      </c>
      <c r="J39" s="24">
        <f t="shared" si="35"/>
        <v>2008.1</v>
      </c>
      <c r="K39" s="24">
        <f t="shared" si="35"/>
        <v>0</v>
      </c>
    </row>
    <row r="40" spans="1:11" outlineLevel="1">
      <c r="A40" s="109"/>
      <c r="B40" s="43"/>
      <c r="C40" s="37"/>
      <c r="D40" s="41" t="s">
        <v>46</v>
      </c>
      <c r="E40" s="24">
        <f t="shared" si="13"/>
        <v>0</v>
      </c>
      <c r="F40" s="24">
        <f t="shared" si="35"/>
        <v>0</v>
      </c>
      <c r="G40" s="24">
        <f t="shared" si="35"/>
        <v>0</v>
      </c>
      <c r="H40" s="24">
        <f t="shared" si="35"/>
        <v>0</v>
      </c>
      <c r="I40" s="24">
        <f t="shared" si="35"/>
        <v>0</v>
      </c>
      <c r="J40" s="24">
        <f t="shared" si="35"/>
        <v>0</v>
      </c>
      <c r="K40" s="24">
        <f t="shared" si="35"/>
        <v>0</v>
      </c>
    </row>
    <row r="41" spans="1:11" outlineLevel="1">
      <c r="A41" s="107" t="s">
        <v>236</v>
      </c>
      <c r="B41" s="153" t="s">
        <v>112</v>
      </c>
      <c r="C41" s="107" t="s">
        <v>61</v>
      </c>
      <c r="D41" s="16" t="s">
        <v>44</v>
      </c>
      <c r="E41" s="24">
        <f t="shared" si="13"/>
        <v>98999.959999999992</v>
      </c>
      <c r="F41" s="24">
        <f>SUM(F42:F44)</f>
        <v>0</v>
      </c>
      <c r="G41" s="24">
        <f t="shared" ref="G41:I41" si="36">SUM(G42:G44)</f>
        <v>0</v>
      </c>
      <c r="H41" s="24">
        <f t="shared" si="36"/>
        <v>0</v>
      </c>
      <c r="I41" s="24">
        <f t="shared" si="36"/>
        <v>0</v>
      </c>
      <c r="J41" s="24">
        <f>'Отчет_лист 1'!H43</f>
        <v>107000</v>
      </c>
      <c r="K41" s="24">
        <f>'Отчет_лист 1'!I43</f>
        <v>98999.959999999992</v>
      </c>
    </row>
    <row r="42" spans="1:11" outlineLevel="1">
      <c r="A42" s="108"/>
      <c r="B42" s="154"/>
      <c r="C42" s="108"/>
      <c r="D42" s="48" t="s">
        <v>42</v>
      </c>
      <c r="E42" s="24">
        <f t="shared" si="13"/>
        <v>5445</v>
      </c>
      <c r="F42" s="24">
        <v>0</v>
      </c>
      <c r="G42" s="24">
        <v>0</v>
      </c>
      <c r="H42" s="24">
        <v>0</v>
      </c>
      <c r="I42" s="24">
        <v>0</v>
      </c>
      <c r="J42" s="24">
        <v>5885</v>
      </c>
      <c r="K42" s="24">
        <f>2706.44+2738.56</f>
        <v>5445</v>
      </c>
    </row>
    <row r="43" spans="1:11" outlineLevel="1">
      <c r="A43" s="108"/>
      <c r="B43" s="154"/>
      <c r="C43" s="108"/>
      <c r="D43" s="48" t="s">
        <v>43</v>
      </c>
      <c r="E43" s="24">
        <f t="shared" si="13"/>
        <v>58678.8</v>
      </c>
      <c r="F43" s="24">
        <v>0</v>
      </c>
      <c r="G43" s="24">
        <v>0</v>
      </c>
      <c r="H43" s="24">
        <v>0</v>
      </c>
      <c r="I43" s="24">
        <v>0</v>
      </c>
      <c r="J43" s="24">
        <v>66238.8</v>
      </c>
      <c r="K43" s="24">
        <f>11625.4+47053.4</f>
        <v>58678.8</v>
      </c>
    </row>
    <row r="44" spans="1:11" outlineLevel="1">
      <c r="A44" s="109"/>
      <c r="B44" s="155"/>
      <c r="C44" s="109"/>
      <c r="D44" s="41" t="s">
        <v>46</v>
      </c>
      <c r="E44" s="24">
        <f t="shared" si="13"/>
        <v>34876.199999999997</v>
      </c>
      <c r="F44" s="24">
        <v>0</v>
      </c>
      <c r="G44" s="24">
        <v>0</v>
      </c>
      <c r="H44" s="24">
        <v>0</v>
      </c>
      <c r="I44" s="24">
        <v>0</v>
      </c>
      <c r="J44" s="24">
        <v>34876.199999999997</v>
      </c>
      <c r="K44" s="24">
        <f>34876.2</f>
        <v>34876.199999999997</v>
      </c>
    </row>
    <row r="45" spans="1:11" outlineLevel="1">
      <c r="A45" s="107" t="s">
        <v>237</v>
      </c>
      <c r="B45" s="153" t="s">
        <v>113</v>
      </c>
      <c r="C45" s="107" t="s">
        <v>61</v>
      </c>
      <c r="D45" s="16" t="s">
        <v>44</v>
      </c>
      <c r="E45" s="24">
        <f t="shared" ref="E45:E48" si="37">F45+G45+H45+I45+K45</f>
        <v>298932.86</v>
      </c>
      <c r="F45" s="24">
        <f>SUM(F46:F48)</f>
        <v>0</v>
      </c>
      <c r="G45" s="24">
        <f t="shared" ref="G45" si="38">SUM(G46:G48)</f>
        <v>0</v>
      </c>
      <c r="H45" s="24">
        <f t="shared" ref="H45" si="39">SUM(H46:H48)</f>
        <v>0</v>
      </c>
      <c r="I45" s="24">
        <f t="shared" ref="I45" si="40">SUM(I46:I48)</f>
        <v>0</v>
      </c>
      <c r="J45" s="24">
        <f>'Отчет_лист 1'!H45</f>
        <v>298932.90000000002</v>
      </c>
      <c r="K45" s="24">
        <f>'Отчет_лист 1'!I45</f>
        <v>298932.86</v>
      </c>
    </row>
    <row r="46" spans="1:11" outlineLevel="1">
      <c r="A46" s="108"/>
      <c r="B46" s="154"/>
      <c r="C46" s="108"/>
      <c r="D46" s="48" t="s">
        <v>42</v>
      </c>
      <c r="E46" s="24">
        <f t="shared" si="37"/>
        <v>16441.3</v>
      </c>
      <c r="F46" s="24">
        <v>0</v>
      </c>
      <c r="G46" s="24">
        <v>0</v>
      </c>
      <c r="H46" s="24">
        <v>0</v>
      </c>
      <c r="I46" s="24">
        <v>0</v>
      </c>
      <c r="J46" s="24">
        <v>16441.3</v>
      </c>
      <c r="K46" s="24">
        <f>12970.9+3470.4</f>
        <v>16441.3</v>
      </c>
    </row>
    <row r="47" spans="1:11" outlineLevel="1">
      <c r="A47" s="108"/>
      <c r="B47" s="154"/>
      <c r="C47" s="108"/>
      <c r="D47" s="48" t="s">
        <v>43</v>
      </c>
      <c r="E47" s="24">
        <f t="shared" si="37"/>
        <v>68543.5</v>
      </c>
      <c r="F47" s="24">
        <v>0</v>
      </c>
      <c r="G47" s="24">
        <v>0</v>
      </c>
      <c r="H47" s="24">
        <v>0</v>
      </c>
      <c r="I47" s="24">
        <v>0</v>
      </c>
      <c r="J47" s="24">
        <v>68543.5</v>
      </c>
      <c r="K47" s="24">
        <f>8914.5+59629</f>
        <v>68543.5</v>
      </c>
    </row>
    <row r="48" spans="1:11" outlineLevel="1">
      <c r="A48" s="109"/>
      <c r="B48" s="155"/>
      <c r="C48" s="109"/>
      <c r="D48" s="41" t="s">
        <v>46</v>
      </c>
      <c r="E48" s="24">
        <f t="shared" si="37"/>
        <v>213948.1</v>
      </c>
      <c r="F48" s="24">
        <v>0</v>
      </c>
      <c r="G48" s="24">
        <v>0</v>
      </c>
      <c r="H48" s="24">
        <v>0</v>
      </c>
      <c r="I48" s="24">
        <v>0</v>
      </c>
      <c r="J48" s="24">
        <v>213948.1</v>
      </c>
      <c r="K48" s="24">
        <f>213948.1</f>
        <v>213948.1</v>
      </c>
    </row>
    <row r="49" spans="1:11" outlineLevel="1">
      <c r="A49" s="107" t="s">
        <v>238</v>
      </c>
      <c r="B49" s="153" t="s">
        <v>110</v>
      </c>
      <c r="C49" s="107" t="s">
        <v>61</v>
      </c>
      <c r="D49" s="16" t="s">
        <v>44</v>
      </c>
      <c r="E49" s="24">
        <f t="shared" ref="E49:E52" si="41">F49+G49+H49+I49+K49</f>
        <v>298432.83</v>
      </c>
      <c r="F49" s="24">
        <f>SUM(F50:F52)</f>
        <v>0</v>
      </c>
      <c r="G49" s="24">
        <f t="shared" ref="G49" si="42">SUM(G50:G52)</f>
        <v>0</v>
      </c>
      <c r="H49" s="24">
        <f t="shared" ref="H49" si="43">SUM(H50:H52)</f>
        <v>0</v>
      </c>
      <c r="I49" s="24">
        <f t="shared" ref="I49" si="44">SUM(I50:I52)</f>
        <v>0</v>
      </c>
      <c r="J49" s="24">
        <f>'Отчет_лист 1'!H47</f>
        <v>298432.8</v>
      </c>
      <c r="K49" s="24">
        <f>'Отчет_лист 1'!I47</f>
        <v>298432.83</v>
      </c>
    </row>
    <row r="50" spans="1:11" outlineLevel="1">
      <c r="A50" s="108"/>
      <c r="B50" s="154"/>
      <c r="C50" s="108"/>
      <c r="D50" s="48" t="s">
        <v>42</v>
      </c>
      <c r="E50" s="24">
        <f t="shared" si="41"/>
        <v>16413.7</v>
      </c>
      <c r="F50" s="24">
        <v>0</v>
      </c>
      <c r="G50" s="24">
        <v>0</v>
      </c>
      <c r="H50" s="24">
        <v>0</v>
      </c>
      <c r="I50" s="24">
        <v>0</v>
      </c>
      <c r="J50" s="24">
        <v>16413.7</v>
      </c>
      <c r="K50" s="24">
        <f>12970.8+3442.9</f>
        <v>16413.7</v>
      </c>
    </row>
    <row r="51" spans="1:11" outlineLevel="1">
      <c r="A51" s="108"/>
      <c r="B51" s="154"/>
      <c r="C51" s="108"/>
      <c r="D51" s="48" t="s">
        <v>43</v>
      </c>
      <c r="E51" s="24">
        <f t="shared" si="41"/>
        <v>68071</v>
      </c>
      <c r="F51" s="24">
        <v>0</v>
      </c>
      <c r="G51" s="24">
        <v>0</v>
      </c>
      <c r="H51" s="24">
        <v>0</v>
      </c>
      <c r="I51" s="24">
        <v>0</v>
      </c>
      <c r="J51" s="24">
        <v>68071</v>
      </c>
      <c r="K51" s="24">
        <f>8914.5+59156.5</f>
        <v>68071</v>
      </c>
    </row>
    <row r="52" spans="1:11" outlineLevel="1">
      <c r="A52" s="109"/>
      <c r="B52" s="155"/>
      <c r="C52" s="109"/>
      <c r="D52" s="41" t="s">
        <v>46</v>
      </c>
      <c r="E52" s="24">
        <f t="shared" si="41"/>
        <v>213948.1</v>
      </c>
      <c r="F52" s="24">
        <v>0</v>
      </c>
      <c r="G52" s="24">
        <v>0</v>
      </c>
      <c r="H52" s="24">
        <v>0</v>
      </c>
      <c r="I52" s="24">
        <v>0</v>
      </c>
      <c r="J52" s="24">
        <v>213948.1</v>
      </c>
      <c r="K52" s="24">
        <f>213948.1</f>
        <v>213948.1</v>
      </c>
    </row>
    <row r="53" spans="1:11" outlineLevel="1">
      <c r="A53" s="107" t="s">
        <v>239</v>
      </c>
      <c r="B53" s="153" t="s">
        <v>259</v>
      </c>
      <c r="C53" s="107" t="s">
        <v>256</v>
      </c>
      <c r="D53" s="16" t="s">
        <v>44</v>
      </c>
      <c r="E53" s="24">
        <f t="shared" ref="E53:E56" si="45">F53+G53+H53+I53+K53</f>
        <v>0</v>
      </c>
      <c r="F53" s="24">
        <f>SUM(F54:F56)</f>
        <v>0</v>
      </c>
      <c r="G53" s="24">
        <f t="shared" ref="G53" si="46">SUM(G54:G56)</f>
        <v>0</v>
      </c>
      <c r="H53" s="24">
        <f t="shared" ref="H53" si="47">SUM(H54:H56)</f>
        <v>0</v>
      </c>
      <c r="I53" s="24">
        <f t="shared" ref="I53" si="48">SUM(I54:I56)</f>
        <v>0</v>
      </c>
      <c r="J53" s="24">
        <f>'Отчет_лист 1'!H49</f>
        <v>2125</v>
      </c>
      <c r="K53" s="24">
        <f>'Отчет_лист 1'!I49</f>
        <v>0</v>
      </c>
    </row>
    <row r="54" spans="1:11" outlineLevel="1">
      <c r="A54" s="108"/>
      <c r="B54" s="154"/>
      <c r="C54" s="108"/>
      <c r="D54" s="48" t="s">
        <v>42</v>
      </c>
      <c r="E54" s="24">
        <f t="shared" si="45"/>
        <v>0</v>
      </c>
      <c r="F54" s="24">
        <v>0</v>
      </c>
      <c r="G54" s="24">
        <v>0</v>
      </c>
      <c r="H54" s="24">
        <v>0</v>
      </c>
      <c r="I54" s="24">
        <v>0</v>
      </c>
      <c r="J54" s="24">
        <v>116.9</v>
      </c>
      <c r="K54" s="24">
        <v>0</v>
      </c>
    </row>
    <row r="55" spans="1:11" outlineLevel="1">
      <c r="A55" s="108"/>
      <c r="B55" s="154"/>
      <c r="C55" s="108"/>
      <c r="D55" s="48" t="s">
        <v>43</v>
      </c>
      <c r="E55" s="24">
        <f t="shared" si="45"/>
        <v>0</v>
      </c>
      <c r="F55" s="24">
        <v>0</v>
      </c>
      <c r="G55" s="24">
        <v>0</v>
      </c>
      <c r="H55" s="24">
        <v>0</v>
      </c>
      <c r="I55" s="24">
        <v>0</v>
      </c>
      <c r="J55" s="24">
        <v>2008.1</v>
      </c>
      <c r="K55" s="24">
        <v>0</v>
      </c>
    </row>
    <row r="56" spans="1:11" outlineLevel="1">
      <c r="A56" s="109"/>
      <c r="B56" s="155"/>
      <c r="C56" s="109"/>
      <c r="D56" s="41" t="s">
        <v>46</v>
      </c>
      <c r="E56" s="24">
        <f t="shared" si="45"/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>
      <c r="A57" s="157" t="s">
        <v>261</v>
      </c>
      <c r="B57" s="147"/>
      <c r="C57" s="173"/>
      <c r="D57" s="16" t="s">
        <v>44</v>
      </c>
      <c r="E57" s="24">
        <f>F57+G57+H57+I57+K57</f>
        <v>12682029.06886</v>
      </c>
      <c r="F57" s="17">
        <f t="shared" ref="F57" si="49">SUM(F58:F60)</f>
        <v>1795771.5</v>
      </c>
      <c r="G57" s="17">
        <f t="shared" ref="G57:H57" si="50">SUM(G58:G60)</f>
        <v>2085723.4</v>
      </c>
      <c r="H57" s="17">
        <f t="shared" si="50"/>
        <v>2274687</v>
      </c>
      <c r="I57" s="17">
        <f t="shared" ref="I57" si="51">SUM(I58:I60)</f>
        <v>2984114.2688600002</v>
      </c>
      <c r="J57" s="17">
        <f t="shared" ref="J57:K57" si="52">SUM(J58:J60)</f>
        <v>3554620.1</v>
      </c>
      <c r="K57" s="17">
        <f t="shared" si="52"/>
        <v>3541732.9</v>
      </c>
    </row>
    <row r="58" spans="1:11">
      <c r="A58" s="158"/>
      <c r="B58" s="149"/>
      <c r="C58" s="174"/>
      <c r="D58" s="48" t="s">
        <v>42</v>
      </c>
      <c r="E58" s="24">
        <f t="shared" ref="E58:E71" si="53">F58+G58+H58+I58+K58</f>
        <v>5833324.4415999996</v>
      </c>
      <c r="F58" s="19">
        <f t="shared" ref="F58:K59" si="54">F62+F65+F69</f>
        <v>1054891.2</v>
      </c>
      <c r="G58" s="19">
        <f t="shared" si="54"/>
        <v>1262816.9999999998</v>
      </c>
      <c r="H58" s="19">
        <f t="shared" si="54"/>
        <v>1081808.1000000001</v>
      </c>
      <c r="I58" s="19">
        <f t="shared" si="54"/>
        <v>1079639.1416</v>
      </c>
      <c r="J58" s="19">
        <f t="shared" si="54"/>
        <v>1355916.8</v>
      </c>
      <c r="K58" s="19">
        <f t="shared" si="54"/>
        <v>1354169</v>
      </c>
    </row>
    <row r="59" spans="1:11">
      <c r="A59" s="158"/>
      <c r="B59" s="149"/>
      <c r="C59" s="174"/>
      <c r="D59" s="48" t="s">
        <v>43</v>
      </c>
      <c r="E59" s="24">
        <f t="shared" si="53"/>
        <v>6080418.5272600008</v>
      </c>
      <c r="F59" s="19">
        <f t="shared" si="54"/>
        <v>740880.3</v>
      </c>
      <c r="G59" s="19">
        <f t="shared" si="54"/>
        <v>822906.4</v>
      </c>
      <c r="H59" s="19">
        <f t="shared" si="54"/>
        <v>1192878.9000000001</v>
      </c>
      <c r="I59" s="19">
        <f t="shared" si="54"/>
        <v>1598961.42726</v>
      </c>
      <c r="J59" s="19">
        <f t="shared" si="54"/>
        <v>1735930.9000000001</v>
      </c>
      <c r="K59" s="19">
        <f t="shared" si="54"/>
        <v>1724791.5</v>
      </c>
    </row>
    <row r="60" spans="1:11">
      <c r="A60" s="158"/>
      <c r="B60" s="149"/>
      <c r="C60" s="175"/>
      <c r="D60" s="25" t="s">
        <v>46</v>
      </c>
      <c r="E60" s="24">
        <f t="shared" si="53"/>
        <v>768286.10000000009</v>
      </c>
      <c r="F60" s="19">
        <f t="shared" ref="F60:K60" si="55">F67+F71</f>
        <v>0</v>
      </c>
      <c r="G60" s="19">
        <f t="shared" si="55"/>
        <v>0</v>
      </c>
      <c r="H60" s="19">
        <f t="shared" si="55"/>
        <v>0</v>
      </c>
      <c r="I60" s="19">
        <f t="shared" si="55"/>
        <v>305513.7</v>
      </c>
      <c r="J60" s="19">
        <f t="shared" si="55"/>
        <v>462772.4</v>
      </c>
      <c r="K60" s="19">
        <f t="shared" si="55"/>
        <v>462772.4</v>
      </c>
    </row>
    <row r="61" spans="1:11">
      <c r="A61" s="158"/>
      <c r="B61" s="149"/>
      <c r="C61" s="145" t="s">
        <v>20</v>
      </c>
      <c r="D61" s="27" t="s">
        <v>74</v>
      </c>
      <c r="E61" s="24">
        <f t="shared" si="53"/>
        <v>11417205.72886</v>
      </c>
      <c r="F61" s="17">
        <f t="shared" ref="F61:K61" si="56">SUM(F62:F63)</f>
        <v>1795771.5</v>
      </c>
      <c r="G61" s="17">
        <f t="shared" si="56"/>
        <v>2085723.4</v>
      </c>
      <c r="H61" s="17">
        <f t="shared" si="56"/>
        <v>2274687</v>
      </c>
      <c r="I61" s="17">
        <f t="shared" si="56"/>
        <v>2415679.4288599999</v>
      </c>
      <c r="J61" s="17">
        <f t="shared" si="56"/>
        <v>2848106.6</v>
      </c>
      <c r="K61" s="17">
        <f t="shared" si="56"/>
        <v>2845344.4</v>
      </c>
    </row>
    <row r="62" spans="1:11">
      <c r="A62" s="158"/>
      <c r="B62" s="149"/>
      <c r="C62" s="145"/>
      <c r="D62" s="48" t="s">
        <v>42</v>
      </c>
      <c r="E62" s="24">
        <f t="shared" si="53"/>
        <v>5763737.8115999997</v>
      </c>
      <c r="F62" s="17">
        <f t="shared" ref="F62" si="57">F11+F14+F15+F20+F21+F23+F26</f>
        <v>1054891.2</v>
      </c>
      <c r="G62" s="17">
        <f t="shared" ref="G62" si="58">G11+G14+G15+G20+G21+G23+G26</f>
        <v>1262816.9999999998</v>
      </c>
      <c r="H62" s="17">
        <f t="shared" ref="H62" si="59">H11+H14+H15+H20+H21+H23+H26</f>
        <v>1081808.1000000001</v>
      </c>
      <c r="I62" s="17">
        <f t="shared" ref="I62" si="60">I11+I14+I15+I20+I21+I23+I26</f>
        <v>1048375.3116</v>
      </c>
      <c r="J62" s="17">
        <f t="shared" ref="J62" si="61">J11+J14+J15+J20+J21+J23+J26</f>
        <v>1317037.1000000001</v>
      </c>
      <c r="K62" s="17">
        <f t="shared" ref="K62" si="62">K11+K14+K15+K20+K21+K23+K26</f>
        <v>1315846.2</v>
      </c>
    </row>
    <row r="63" spans="1:11">
      <c r="A63" s="158"/>
      <c r="B63" s="149"/>
      <c r="C63" s="145"/>
      <c r="D63" s="48" t="s">
        <v>43</v>
      </c>
      <c r="E63" s="24">
        <f t="shared" si="53"/>
        <v>5653467.9172600005</v>
      </c>
      <c r="F63" s="17">
        <f t="shared" ref="F63" si="63">F12+F24+F27</f>
        <v>740880.3</v>
      </c>
      <c r="G63" s="17">
        <f t="shared" ref="G63" si="64">G12+G24+G27</f>
        <v>822906.4</v>
      </c>
      <c r="H63" s="17">
        <f t="shared" ref="H63" si="65">H12+H24+H27</f>
        <v>1192878.9000000001</v>
      </c>
      <c r="I63" s="17">
        <f t="shared" ref="I63" si="66">I12+I24+I27</f>
        <v>1367304.11726</v>
      </c>
      <c r="J63" s="17">
        <f t="shared" ref="J63" si="67">J12+J24+J27</f>
        <v>1531069.5</v>
      </c>
      <c r="K63" s="17">
        <f t="shared" ref="K63" si="68">K12+K24+K27</f>
        <v>1529498.2</v>
      </c>
    </row>
    <row r="64" spans="1:11">
      <c r="A64" s="158"/>
      <c r="B64" s="149"/>
      <c r="C64" s="145" t="s">
        <v>61</v>
      </c>
      <c r="D64" s="23" t="s">
        <v>74</v>
      </c>
      <c r="E64" s="24">
        <f t="shared" si="53"/>
        <v>1264800.54</v>
      </c>
      <c r="F64" s="17">
        <f t="shared" ref="F64:K64" si="69">SUM(F65:F67)</f>
        <v>0</v>
      </c>
      <c r="G64" s="17">
        <f t="shared" si="69"/>
        <v>0</v>
      </c>
      <c r="H64" s="17">
        <f t="shared" si="69"/>
        <v>0</v>
      </c>
      <c r="I64" s="17">
        <f t="shared" si="69"/>
        <v>568434.84000000008</v>
      </c>
      <c r="J64" s="17">
        <f t="shared" si="69"/>
        <v>704365.7</v>
      </c>
      <c r="K64" s="17">
        <f t="shared" si="69"/>
        <v>696365.7</v>
      </c>
    </row>
    <row r="65" spans="1:11">
      <c r="A65" s="158"/>
      <c r="B65" s="149"/>
      <c r="C65" s="145"/>
      <c r="D65" s="48" t="s">
        <v>42</v>
      </c>
      <c r="E65" s="24">
        <f t="shared" si="53"/>
        <v>69563.83</v>
      </c>
      <c r="F65" s="17">
        <f t="shared" ref="F65" si="70">F17+F34</f>
        <v>0</v>
      </c>
      <c r="G65" s="17">
        <f t="shared" ref="G65" si="71">G17+G34</f>
        <v>0</v>
      </c>
      <c r="H65" s="17">
        <f t="shared" ref="H65" si="72">H17+H34</f>
        <v>0</v>
      </c>
      <c r="I65" s="17">
        <f t="shared" ref="I65" si="73">I17+I34</f>
        <v>31263.83</v>
      </c>
      <c r="J65" s="17">
        <f t="shared" ref="J65" si="74">J17+J34</f>
        <v>38740</v>
      </c>
      <c r="K65" s="17">
        <f t="shared" ref="K65" si="75">K17+K34</f>
        <v>38300</v>
      </c>
    </row>
    <row r="66" spans="1:11">
      <c r="A66" s="158"/>
      <c r="B66" s="149"/>
      <c r="C66" s="145"/>
      <c r="D66" s="48" t="s">
        <v>43</v>
      </c>
      <c r="E66" s="24">
        <f t="shared" si="53"/>
        <v>426950.61</v>
      </c>
      <c r="F66" s="17">
        <f t="shared" ref="F66" si="76">F18+F35</f>
        <v>0</v>
      </c>
      <c r="G66" s="17">
        <f t="shared" ref="G66" si="77">G18+G35</f>
        <v>0</v>
      </c>
      <c r="H66" s="17">
        <f t="shared" ref="H66" si="78">H18+H35</f>
        <v>0</v>
      </c>
      <c r="I66" s="17">
        <f t="shared" ref="I66" si="79">I18+I35</f>
        <v>231657.31</v>
      </c>
      <c r="J66" s="17">
        <f t="shared" ref="J66" si="80">J18+J35</f>
        <v>202853.3</v>
      </c>
      <c r="K66" s="17">
        <f t="shared" ref="K66" si="81">K18+K35</f>
        <v>195293.3</v>
      </c>
    </row>
    <row r="67" spans="1:11">
      <c r="A67" s="158"/>
      <c r="B67" s="149"/>
      <c r="C67" s="145"/>
      <c r="D67" s="48" t="s">
        <v>46</v>
      </c>
      <c r="E67" s="24">
        <f t="shared" si="53"/>
        <v>768286.10000000009</v>
      </c>
      <c r="F67" s="17">
        <f t="shared" ref="F67" si="82">F19+F36</f>
        <v>0</v>
      </c>
      <c r="G67" s="17">
        <f t="shared" ref="G67" si="83">G19+G36</f>
        <v>0</v>
      </c>
      <c r="H67" s="17">
        <f t="shared" ref="H67" si="84">H19+H36</f>
        <v>0</v>
      </c>
      <c r="I67" s="17">
        <f t="shared" ref="I67" si="85">I19+I36</f>
        <v>305513.7</v>
      </c>
      <c r="J67" s="17">
        <f t="shared" ref="J67" si="86">J19+J36</f>
        <v>462772.4</v>
      </c>
      <c r="K67" s="17">
        <f t="shared" ref="K67" si="87">K19+K36</f>
        <v>462772.4</v>
      </c>
    </row>
    <row r="68" spans="1:11">
      <c r="A68" s="158"/>
      <c r="B68" s="149"/>
      <c r="C68" s="145" t="s">
        <v>256</v>
      </c>
      <c r="D68" s="23" t="s">
        <v>74</v>
      </c>
      <c r="E68" s="24">
        <f t="shared" si="53"/>
        <v>22.8</v>
      </c>
      <c r="F68" s="17">
        <f t="shared" ref="F68:K68" si="88">SUM(F69:F71)</f>
        <v>0</v>
      </c>
      <c r="G68" s="17">
        <f t="shared" si="88"/>
        <v>0</v>
      </c>
      <c r="H68" s="17">
        <f t="shared" si="88"/>
        <v>0</v>
      </c>
      <c r="I68" s="17">
        <f t="shared" si="88"/>
        <v>0</v>
      </c>
      <c r="J68" s="17">
        <f t="shared" si="88"/>
        <v>2147.7999999999997</v>
      </c>
      <c r="K68" s="17">
        <f t="shared" si="88"/>
        <v>22.8</v>
      </c>
    </row>
    <row r="69" spans="1:11">
      <c r="A69" s="158"/>
      <c r="B69" s="149"/>
      <c r="C69" s="145"/>
      <c r="D69" s="48" t="s">
        <v>42</v>
      </c>
      <c r="E69" s="24">
        <f t="shared" si="53"/>
        <v>22.8</v>
      </c>
      <c r="F69" s="17">
        <f>F13+F38</f>
        <v>0</v>
      </c>
      <c r="G69" s="17">
        <f t="shared" ref="G69:K69" si="89">G13+G38</f>
        <v>0</v>
      </c>
      <c r="H69" s="17">
        <f t="shared" si="89"/>
        <v>0</v>
      </c>
      <c r="I69" s="17">
        <f t="shared" si="89"/>
        <v>0</v>
      </c>
      <c r="J69" s="17">
        <f t="shared" si="89"/>
        <v>139.70000000000002</v>
      </c>
      <c r="K69" s="17">
        <f t="shared" si="89"/>
        <v>22.8</v>
      </c>
    </row>
    <row r="70" spans="1:11">
      <c r="A70" s="158"/>
      <c r="B70" s="149"/>
      <c r="C70" s="145"/>
      <c r="D70" s="48" t="s">
        <v>43</v>
      </c>
      <c r="E70" s="24">
        <f t="shared" si="53"/>
        <v>0</v>
      </c>
      <c r="F70" s="17">
        <f>F39</f>
        <v>0</v>
      </c>
      <c r="G70" s="17">
        <f t="shared" ref="G70:K70" si="90">G39</f>
        <v>0</v>
      </c>
      <c r="H70" s="17">
        <f t="shared" si="90"/>
        <v>0</v>
      </c>
      <c r="I70" s="17">
        <f t="shared" si="90"/>
        <v>0</v>
      </c>
      <c r="J70" s="17">
        <f t="shared" si="90"/>
        <v>2008.1</v>
      </c>
      <c r="K70" s="17">
        <f t="shared" si="90"/>
        <v>0</v>
      </c>
    </row>
    <row r="71" spans="1:11">
      <c r="A71" s="159"/>
      <c r="B71" s="160"/>
      <c r="C71" s="145"/>
      <c r="D71" s="48" t="s">
        <v>46</v>
      </c>
      <c r="E71" s="24">
        <f t="shared" si="53"/>
        <v>0</v>
      </c>
      <c r="F71" s="17">
        <f>F40</f>
        <v>0</v>
      </c>
      <c r="G71" s="17">
        <f t="shared" ref="G71:K71" si="91">G40</f>
        <v>0</v>
      </c>
      <c r="H71" s="17">
        <f t="shared" si="91"/>
        <v>0</v>
      </c>
      <c r="I71" s="17">
        <f t="shared" si="91"/>
        <v>0</v>
      </c>
      <c r="J71" s="17">
        <f t="shared" si="91"/>
        <v>0</v>
      </c>
      <c r="K71" s="17">
        <f t="shared" si="91"/>
        <v>0</v>
      </c>
    </row>
    <row r="72" spans="1:11" ht="18.75" customHeight="1">
      <c r="A72" s="161" t="s">
        <v>156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3"/>
    </row>
    <row r="73" spans="1:11" ht="38.25" customHeight="1">
      <c r="A73" s="71" t="s">
        <v>27</v>
      </c>
      <c r="B73" s="161" t="s">
        <v>277</v>
      </c>
      <c r="C73" s="162"/>
      <c r="D73" s="163"/>
      <c r="E73" s="24">
        <f t="shared" si="13"/>
        <v>18076173.754450001</v>
      </c>
      <c r="F73" s="17">
        <f>F74+F86+F92</f>
        <v>2573216.7000000002</v>
      </c>
      <c r="G73" s="17">
        <v>3399820.4000000004</v>
      </c>
      <c r="H73" s="17">
        <v>3972928.5000000005</v>
      </c>
      <c r="I73" s="17">
        <v>4409962.9544500001</v>
      </c>
      <c r="J73" s="17">
        <f>'Отчет_лист 1'!H53</f>
        <v>3721174.7</v>
      </c>
      <c r="K73" s="17">
        <f>'Отчет_лист 1'!I53</f>
        <v>3720245.2</v>
      </c>
    </row>
    <row r="74" spans="1:11" outlineLevel="1">
      <c r="A74" s="150" t="s">
        <v>117</v>
      </c>
      <c r="B74" s="153" t="s">
        <v>22</v>
      </c>
      <c r="C74" s="107" t="s">
        <v>270</v>
      </c>
      <c r="D74" s="16" t="s">
        <v>44</v>
      </c>
      <c r="E74" s="24">
        <f t="shared" si="13"/>
        <v>14926457.100000001</v>
      </c>
      <c r="F74" s="17">
        <f>F75+F76</f>
        <v>2539145.2000000002</v>
      </c>
      <c r="G74" s="17">
        <f t="shared" ref="G74:J74" si="92">G75+G76</f>
        <v>2670575.5</v>
      </c>
      <c r="H74" s="17">
        <f t="shared" si="92"/>
        <v>2831132.5</v>
      </c>
      <c r="I74" s="17">
        <f t="shared" si="92"/>
        <v>3165358.7</v>
      </c>
      <c r="J74" s="17">
        <f t="shared" si="92"/>
        <v>3721174.7</v>
      </c>
      <c r="K74" s="17">
        <f>'Отчет_лист 1'!I54</f>
        <v>3720245.2</v>
      </c>
    </row>
    <row r="75" spans="1:11" outlineLevel="1">
      <c r="A75" s="151"/>
      <c r="B75" s="154"/>
      <c r="C75" s="151"/>
      <c r="D75" s="48" t="s">
        <v>42</v>
      </c>
      <c r="E75" s="24">
        <f t="shared" si="13"/>
        <v>5451355.9414499998</v>
      </c>
      <c r="F75" s="17">
        <f>F79+F83</f>
        <v>783225</v>
      </c>
      <c r="G75" s="17">
        <f t="shared" ref="G75:J75" si="93">G79+G83</f>
        <v>866932</v>
      </c>
      <c r="H75" s="17">
        <f t="shared" si="93"/>
        <v>1109885.3999999999</v>
      </c>
      <c r="I75" s="17">
        <f t="shared" si="93"/>
        <v>1240539.8</v>
      </c>
      <c r="J75" s="17">
        <f t="shared" si="93"/>
        <v>1450922.7</v>
      </c>
      <c r="K75" s="17">
        <f t="shared" ref="K75" si="94">K79+K83</f>
        <v>1450773.7414499999</v>
      </c>
    </row>
    <row r="76" spans="1:11" outlineLevel="1">
      <c r="A76" s="151"/>
      <c r="B76" s="154"/>
      <c r="C76" s="151"/>
      <c r="D76" s="48" t="s">
        <v>43</v>
      </c>
      <c r="E76" s="24">
        <f t="shared" si="13"/>
        <v>9475101.1549900007</v>
      </c>
      <c r="F76" s="17">
        <f t="shared" ref="F76:J77" si="95">F80+F84</f>
        <v>1755920.2</v>
      </c>
      <c r="G76" s="17">
        <f t="shared" si="95"/>
        <v>1803643.5</v>
      </c>
      <c r="H76" s="17">
        <f t="shared" si="95"/>
        <v>1721247.1</v>
      </c>
      <c r="I76" s="17">
        <f t="shared" si="95"/>
        <v>1924818.9</v>
      </c>
      <c r="J76" s="17">
        <f t="shared" si="95"/>
        <v>2270252</v>
      </c>
      <c r="K76" s="17">
        <f t="shared" ref="K76" si="96">K80+K84</f>
        <v>2269471.45499</v>
      </c>
    </row>
    <row r="77" spans="1:11" outlineLevel="1">
      <c r="A77" s="151"/>
      <c r="B77" s="43"/>
      <c r="C77" s="46"/>
      <c r="D77" s="48" t="s">
        <v>46</v>
      </c>
      <c r="E77" s="24">
        <f t="shared" si="13"/>
        <v>0</v>
      </c>
      <c r="F77" s="17">
        <f t="shared" si="95"/>
        <v>0</v>
      </c>
      <c r="G77" s="17">
        <f t="shared" si="95"/>
        <v>0</v>
      </c>
      <c r="H77" s="17">
        <f t="shared" si="95"/>
        <v>0</v>
      </c>
      <c r="I77" s="17">
        <f t="shared" si="95"/>
        <v>0</v>
      </c>
      <c r="J77" s="17">
        <f t="shared" si="95"/>
        <v>0</v>
      </c>
      <c r="K77" s="17">
        <f t="shared" ref="K77" si="97">K81+K85</f>
        <v>0</v>
      </c>
    </row>
    <row r="78" spans="1:11" outlineLevel="1">
      <c r="A78" s="151"/>
      <c r="B78" s="43"/>
      <c r="C78" s="168" t="s">
        <v>270</v>
      </c>
      <c r="D78" s="16" t="s">
        <v>44</v>
      </c>
      <c r="E78" s="24">
        <f t="shared" si="13"/>
        <v>14926417.896439999</v>
      </c>
      <c r="F78" s="17">
        <f>SUM(F79:F81)</f>
        <v>2539145.2000000002</v>
      </c>
      <c r="G78" s="17">
        <f t="shared" ref="G78:K78" si="98">SUM(G79:G81)</f>
        <v>2670575.5</v>
      </c>
      <c r="H78" s="17">
        <f t="shared" si="98"/>
        <v>2831132.5</v>
      </c>
      <c r="I78" s="17">
        <f t="shared" si="98"/>
        <v>3165358.7</v>
      </c>
      <c r="J78" s="17">
        <f t="shared" si="98"/>
        <v>3721135.5</v>
      </c>
      <c r="K78" s="17">
        <f t="shared" si="98"/>
        <v>3720205.9964399999</v>
      </c>
    </row>
    <row r="79" spans="1:11" outlineLevel="1">
      <c r="A79" s="151"/>
      <c r="B79" s="43"/>
      <c r="C79" s="169"/>
      <c r="D79" s="48" t="s">
        <v>42</v>
      </c>
      <c r="E79" s="24">
        <f t="shared" si="13"/>
        <v>5451316.7414500006</v>
      </c>
      <c r="F79" s="17">
        <v>783225</v>
      </c>
      <c r="G79" s="17">
        <v>866932</v>
      </c>
      <c r="H79" s="17">
        <v>1109885.3999999999</v>
      </c>
      <c r="I79" s="17">
        <v>1240539.8</v>
      </c>
      <c r="J79" s="17">
        <v>1450883.5</v>
      </c>
      <c r="K79" s="17">
        <v>1450734.5414499999</v>
      </c>
    </row>
    <row r="80" spans="1:11" outlineLevel="1">
      <c r="A80" s="151"/>
      <c r="B80" s="43"/>
      <c r="C80" s="169"/>
      <c r="D80" s="48" t="s">
        <v>43</v>
      </c>
      <c r="E80" s="24">
        <f t="shared" si="13"/>
        <v>9475101.1549900007</v>
      </c>
      <c r="F80" s="17">
        <v>1755920.2</v>
      </c>
      <c r="G80" s="17">
        <v>1803643.5</v>
      </c>
      <c r="H80" s="17">
        <v>1721247.1</v>
      </c>
      <c r="I80" s="17">
        <v>1924818.9</v>
      </c>
      <c r="J80" s="17">
        <v>2270252</v>
      </c>
      <c r="K80" s="17">
        <v>2269471.45499</v>
      </c>
    </row>
    <row r="81" spans="1:11" outlineLevel="1">
      <c r="A81" s="151"/>
      <c r="B81" s="43"/>
      <c r="C81" s="170"/>
      <c r="D81" s="48" t="s">
        <v>46</v>
      </c>
      <c r="E81" s="24">
        <f t="shared" si="13"/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</row>
    <row r="82" spans="1:11" outlineLevel="1">
      <c r="A82" s="151"/>
      <c r="B82" s="43"/>
      <c r="C82" s="150" t="s">
        <v>256</v>
      </c>
      <c r="D82" s="16" t="s">
        <v>44</v>
      </c>
      <c r="E82" s="24">
        <f t="shared" si="13"/>
        <v>39.200000000000003</v>
      </c>
      <c r="F82" s="17">
        <f>SUM(F83:F85)</f>
        <v>0</v>
      </c>
      <c r="G82" s="17">
        <f t="shared" ref="G82:K82" si="99">SUM(G83:G85)</f>
        <v>0</v>
      </c>
      <c r="H82" s="17">
        <f t="shared" si="99"/>
        <v>0</v>
      </c>
      <c r="I82" s="17">
        <f t="shared" si="99"/>
        <v>0</v>
      </c>
      <c r="J82" s="17">
        <f t="shared" si="99"/>
        <v>39.200000000000003</v>
      </c>
      <c r="K82" s="17">
        <f t="shared" si="99"/>
        <v>39.200000000000003</v>
      </c>
    </row>
    <row r="83" spans="1:11" outlineLevel="1">
      <c r="A83" s="151"/>
      <c r="B83" s="43"/>
      <c r="C83" s="151"/>
      <c r="D83" s="48" t="s">
        <v>42</v>
      </c>
      <c r="E83" s="24">
        <f t="shared" si="13"/>
        <v>39.200000000000003</v>
      </c>
      <c r="F83" s="17">
        <v>0</v>
      </c>
      <c r="G83" s="17">
        <v>0</v>
      </c>
      <c r="H83" s="17">
        <v>0</v>
      </c>
      <c r="I83" s="17">
        <v>0</v>
      </c>
      <c r="J83" s="17">
        <f>'Отчет_лист 1'!H70</f>
        <v>39.200000000000003</v>
      </c>
      <c r="K83" s="17">
        <f>'Отчет_лист 1'!I70</f>
        <v>39.200000000000003</v>
      </c>
    </row>
    <row r="84" spans="1:11" outlineLevel="1">
      <c r="A84" s="151"/>
      <c r="B84" s="43"/>
      <c r="C84" s="151"/>
      <c r="D84" s="48" t="s">
        <v>43</v>
      </c>
      <c r="E84" s="24">
        <f t="shared" si="13"/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</row>
    <row r="85" spans="1:11" outlineLevel="1">
      <c r="A85" s="152"/>
      <c r="B85" s="43"/>
      <c r="C85" s="152"/>
      <c r="D85" s="48" t="s">
        <v>46</v>
      </c>
      <c r="E85" s="24">
        <f t="shared" si="13"/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</row>
    <row r="86" spans="1:11" outlineLevel="1">
      <c r="A86" s="150" t="s">
        <v>262</v>
      </c>
      <c r="B86" s="153" t="s">
        <v>56</v>
      </c>
      <c r="C86" s="107" t="s">
        <v>270</v>
      </c>
      <c r="D86" s="16" t="s">
        <v>44</v>
      </c>
      <c r="E86" s="24">
        <f t="shared" si="13"/>
        <v>204633.9</v>
      </c>
      <c r="F86" s="17">
        <f>F87+F88+F89</f>
        <v>32402.9</v>
      </c>
      <c r="G86" s="17">
        <f>G87+G88+G89</f>
        <v>90634.7</v>
      </c>
      <c r="H86" s="17">
        <v>36657.9</v>
      </c>
      <c r="I86" s="17">
        <v>44938.400000000001</v>
      </c>
      <c r="J86" s="17">
        <v>0</v>
      </c>
      <c r="K86" s="17">
        <v>0</v>
      </c>
    </row>
    <row r="87" spans="1:11" outlineLevel="1">
      <c r="A87" s="151"/>
      <c r="B87" s="154"/>
      <c r="C87" s="108"/>
      <c r="D87" s="48" t="s">
        <v>42</v>
      </c>
      <c r="E87" s="24">
        <f t="shared" si="13"/>
        <v>111803.5</v>
      </c>
      <c r="F87" s="17">
        <v>25224.2</v>
      </c>
      <c r="G87" s="17">
        <v>44162.3</v>
      </c>
      <c r="H87" s="17">
        <v>19837.7</v>
      </c>
      <c r="I87" s="17">
        <v>22579.3</v>
      </c>
      <c r="J87" s="17">
        <v>0</v>
      </c>
      <c r="K87" s="17">
        <v>0</v>
      </c>
    </row>
    <row r="88" spans="1:11" outlineLevel="1">
      <c r="A88" s="151"/>
      <c r="B88" s="154"/>
      <c r="C88" s="108"/>
      <c r="D88" s="48" t="s">
        <v>43</v>
      </c>
      <c r="E88" s="24">
        <f t="shared" si="13"/>
        <v>91910.699999999983</v>
      </c>
      <c r="F88" s="17">
        <v>7178.7</v>
      </c>
      <c r="G88" s="17">
        <v>46097.2</v>
      </c>
      <c r="H88" s="17">
        <v>16497.900000000001</v>
      </c>
      <c r="I88" s="17">
        <v>22136.9</v>
      </c>
      <c r="J88" s="17">
        <v>0</v>
      </c>
      <c r="K88" s="17">
        <v>0</v>
      </c>
    </row>
    <row r="89" spans="1:11" outlineLevel="1">
      <c r="A89" s="152"/>
      <c r="B89" s="155"/>
      <c r="C89" s="109"/>
      <c r="D89" s="48" t="s">
        <v>46</v>
      </c>
      <c r="E89" s="24">
        <f t="shared" si="13"/>
        <v>919.7</v>
      </c>
      <c r="F89" s="17">
        <v>0</v>
      </c>
      <c r="G89" s="17">
        <v>375.2</v>
      </c>
      <c r="H89" s="17">
        <v>322.3</v>
      </c>
      <c r="I89" s="17">
        <v>222.2</v>
      </c>
      <c r="J89" s="17">
        <v>0</v>
      </c>
      <c r="K89" s="17">
        <v>0</v>
      </c>
    </row>
    <row r="90" spans="1:11" ht="37.5" outlineLevel="1">
      <c r="A90" s="39" t="s">
        <v>263</v>
      </c>
      <c r="B90" s="41" t="s">
        <v>57</v>
      </c>
      <c r="C90" s="38" t="s">
        <v>270</v>
      </c>
      <c r="D90" s="48" t="s">
        <v>42</v>
      </c>
      <c r="E90" s="24">
        <f t="shared" si="13"/>
        <v>3979.3</v>
      </c>
      <c r="F90" s="17">
        <v>0</v>
      </c>
      <c r="G90" s="17">
        <v>2610.8000000000002</v>
      </c>
      <c r="H90" s="17">
        <v>941</v>
      </c>
      <c r="I90" s="17">
        <v>427.5</v>
      </c>
      <c r="J90" s="17">
        <v>0</v>
      </c>
      <c r="K90" s="17">
        <v>0</v>
      </c>
    </row>
    <row r="91" spans="1:11" ht="37.5" outlineLevel="1">
      <c r="A91" s="26" t="s">
        <v>264</v>
      </c>
      <c r="B91" s="41" t="s">
        <v>58</v>
      </c>
      <c r="C91" s="38" t="s">
        <v>270</v>
      </c>
      <c r="D91" s="48" t="s">
        <v>42</v>
      </c>
      <c r="E91" s="24">
        <f t="shared" si="13"/>
        <v>2967.1000000000004</v>
      </c>
      <c r="F91" s="17">
        <v>0</v>
      </c>
      <c r="G91" s="17">
        <v>1555.4</v>
      </c>
      <c r="H91" s="17">
        <v>1411.7</v>
      </c>
      <c r="I91" s="17">
        <v>0</v>
      </c>
      <c r="J91" s="17">
        <v>0</v>
      </c>
      <c r="K91" s="17">
        <v>0</v>
      </c>
    </row>
    <row r="92" spans="1:11" outlineLevel="1">
      <c r="A92" s="150" t="s">
        <v>265</v>
      </c>
      <c r="B92" s="153" t="s">
        <v>23</v>
      </c>
      <c r="C92" s="150" t="s">
        <v>271</v>
      </c>
      <c r="D92" s="16" t="s">
        <v>44</v>
      </c>
      <c r="E92" s="24">
        <f t="shared" si="13"/>
        <v>9758.2999999999993</v>
      </c>
      <c r="F92" s="17">
        <f>SUM(F93:F95)</f>
        <v>1668.6</v>
      </c>
      <c r="G92" s="17">
        <f>SUM(G93:G95)</f>
        <v>5965.9</v>
      </c>
      <c r="H92" s="17">
        <v>1013.5</v>
      </c>
      <c r="I92" s="17">
        <v>1110.3</v>
      </c>
      <c r="J92" s="17">
        <v>0</v>
      </c>
      <c r="K92" s="17">
        <v>0</v>
      </c>
    </row>
    <row r="93" spans="1:11" outlineLevel="1">
      <c r="A93" s="151"/>
      <c r="B93" s="154"/>
      <c r="C93" s="151"/>
      <c r="D93" s="48" t="s">
        <v>42</v>
      </c>
      <c r="E93" s="24">
        <f t="shared" si="13"/>
        <v>6457.1</v>
      </c>
      <c r="F93" s="17">
        <v>618</v>
      </c>
      <c r="G93" s="17">
        <v>5202</v>
      </c>
      <c r="H93" s="17">
        <v>413.5</v>
      </c>
      <c r="I93" s="17">
        <v>223.6</v>
      </c>
      <c r="J93" s="17">
        <v>0</v>
      </c>
      <c r="K93" s="17">
        <v>0</v>
      </c>
    </row>
    <row r="94" spans="1:11" outlineLevel="1">
      <c r="A94" s="151"/>
      <c r="B94" s="154"/>
      <c r="C94" s="151"/>
      <c r="D94" s="48" t="s">
        <v>43</v>
      </c>
      <c r="E94" s="24">
        <f t="shared" si="13"/>
        <v>2827.4</v>
      </c>
      <c r="F94" s="17">
        <v>1050.5999999999999</v>
      </c>
      <c r="G94" s="17">
        <v>763.9</v>
      </c>
      <c r="H94" s="17">
        <v>240</v>
      </c>
      <c r="I94" s="17">
        <v>772.9</v>
      </c>
      <c r="J94" s="17">
        <v>0</v>
      </c>
      <c r="K94" s="17">
        <v>0</v>
      </c>
    </row>
    <row r="95" spans="1:11" outlineLevel="1">
      <c r="A95" s="152"/>
      <c r="B95" s="155"/>
      <c r="C95" s="152"/>
      <c r="D95" s="48" t="s">
        <v>46</v>
      </c>
      <c r="E95" s="24">
        <f t="shared" si="13"/>
        <v>473.8</v>
      </c>
      <c r="F95" s="17">
        <v>0</v>
      </c>
      <c r="G95" s="17">
        <v>0</v>
      </c>
      <c r="H95" s="17">
        <v>360</v>
      </c>
      <c r="I95" s="17">
        <v>113.8</v>
      </c>
      <c r="J95" s="17">
        <v>0</v>
      </c>
      <c r="K95" s="17">
        <v>0</v>
      </c>
    </row>
    <row r="96" spans="1:11" ht="56.25" outlineLevel="1">
      <c r="A96" s="39" t="s">
        <v>266</v>
      </c>
      <c r="B96" s="41" t="s">
        <v>59</v>
      </c>
      <c r="C96" s="38" t="s">
        <v>270</v>
      </c>
      <c r="D96" s="48" t="s">
        <v>42</v>
      </c>
      <c r="E96" s="24">
        <f t="shared" si="13"/>
        <v>4076.3999999999996</v>
      </c>
      <c r="F96" s="17">
        <v>0</v>
      </c>
      <c r="G96" s="17">
        <v>2560.1999999999998</v>
      </c>
      <c r="H96" s="17">
        <v>1516.2</v>
      </c>
      <c r="I96" s="17">
        <v>0</v>
      </c>
      <c r="J96" s="17">
        <v>0</v>
      </c>
      <c r="K96" s="17">
        <v>0</v>
      </c>
    </row>
    <row r="97" spans="1:11" outlineLevel="1">
      <c r="A97" s="150" t="s">
        <v>267</v>
      </c>
      <c r="B97" s="167" t="s">
        <v>60</v>
      </c>
      <c r="C97" s="107" t="s">
        <v>270</v>
      </c>
      <c r="D97" s="16" t="s">
        <v>44</v>
      </c>
      <c r="E97" s="24">
        <f t="shared" si="13"/>
        <v>286082.8</v>
      </c>
      <c r="F97" s="17">
        <f>SUM(F98:F99)</f>
        <v>0</v>
      </c>
      <c r="G97" s="17">
        <f>SUM(G98:G99)</f>
        <v>76146.7</v>
      </c>
      <c r="H97" s="17">
        <v>93344.1</v>
      </c>
      <c r="I97" s="17">
        <v>116592</v>
      </c>
      <c r="J97" s="17">
        <v>0</v>
      </c>
      <c r="K97" s="17">
        <v>0</v>
      </c>
    </row>
    <row r="98" spans="1:11" outlineLevel="1">
      <c r="A98" s="151"/>
      <c r="B98" s="167"/>
      <c r="C98" s="108"/>
      <c r="D98" s="48" t="s">
        <v>42</v>
      </c>
      <c r="E98" s="24">
        <f t="shared" si="13"/>
        <v>208458.5</v>
      </c>
      <c r="F98" s="17">
        <v>0</v>
      </c>
      <c r="G98" s="17">
        <v>58986.6</v>
      </c>
      <c r="H98" s="17">
        <v>70758.899999999994</v>
      </c>
      <c r="I98" s="17">
        <v>78713</v>
      </c>
      <c r="J98" s="17">
        <v>0</v>
      </c>
      <c r="K98" s="17">
        <v>0</v>
      </c>
    </row>
    <row r="99" spans="1:11" outlineLevel="1">
      <c r="A99" s="152"/>
      <c r="B99" s="167"/>
      <c r="C99" s="109"/>
      <c r="D99" s="48" t="s">
        <v>43</v>
      </c>
      <c r="E99" s="24">
        <f t="shared" si="13"/>
        <v>77624.3</v>
      </c>
      <c r="F99" s="17">
        <v>0</v>
      </c>
      <c r="G99" s="19">
        <v>17160.099999999999</v>
      </c>
      <c r="H99" s="19">
        <v>22585.200000000001</v>
      </c>
      <c r="I99" s="19">
        <v>37879</v>
      </c>
      <c r="J99" s="19">
        <v>0</v>
      </c>
      <c r="K99" s="19">
        <v>0</v>
      </c>
    </row>
    <row r="100" spans="1:11" outlineLevel="1">
      <c r="A100" s="145" t="s">
        <v>268</v>
      </c>
      <c r="B100" s="167" t="s">
        <v>73</v>
      </c>
      <c r="C100" s="145" t="s">
        <v>61</v>
      </c>
      <c r="D100" s="48" t="s">
        <v>44</v>
      </c>
      <c r="E100" s="24">
        <f t="shared" si="13"/>
        <v>2638218.8600000003</v>
      </c>
      <c r="F100" s="17">
        <f>SUM(F101:F103)</f>
        <v>0</v>
      </c>
      <c r="G100" s="17">
        <f>SUM(G101:G103)</f>
        <v>549771.20000000007</v>
      </c>
      <c r="H100" s="17">
        <f>H101+H102+H103</f>
        <v>1006911.6</v>
      </c>
      <c r="I100" s="17">
        <v>1081536.06</v>
      </c>
      <c r="J100" s="17">
        <v>0</v>
      </c>
      <c r="K100" s="17">
        <v>0</v>
      </c>
    </row>
    <row r="101" spans="1:11" outlineLevel="1">
      <c r="A101" s="145"/>
      <c r="B101" s="167"/>
      <c r="C101" s="145"/>
      <c r="D101" s="48" t="s">
        <v>42</v>
      </c>
      <c r="E101" s="24">
        <f t="shared" si="13"/>
        <v>40449.300000000003</v>
      </c>
      <c r="F101" s="17">
        <v>0</v>
      </c>
      <c r="G101" s="17">
        <v>13901.3</v>
      </c>
      <c r="H101" s="17">
        <v>10325</v>
      </c>
      <c r="I101" s="17">
        <v>16223</v>
      </c>
      <c r="J101" s="17">
        <v>0</v>
      </c>
      <c r="K101" s="17">
        <v>0</v>
      </c>
    </row>
    <row r="102" spans="1:11" outlineLevel="1">
      <c r="A102" s="145"/>
      <c r="B102" s="167"/>
      <c r="C102" s="145"/>
      <c r="D102" s="48" t="s">
        <v>43</v>
      </c>
      <c r="E102" s="24">
        <f t="shared" si="13"/>
        <v>1165136.8999999999</v>
      </c>
      <c r="F102" s="17">
        <v>0</v>
      </c>
      <c r="G102" s="19">
        <v>0</v>
      </c>
      <c r="H102" s="19">
        <f>318578.5+204538.2</f>
        <v>523116.7</v>
      </c>
      <c r="I102" s="19">
        <v>642020.19999999995</v>
      </c>
      <c r="J102" s="19">
        <v>0</v>
      </c>
      <c r="K102" s="19">
        <v>0</v>
      </c>
    </row>
    <row r="103" spans="1:11" outlineLevel="1">
      <c r="A103" s="145"/>
      <c r="B103" s="167"/>
      <c r="C103" s="145"/>
      <c r="D103" s="48" t="s">
        <v>46</v>
      </c>
      <c r="E103" s="24">
        <f t="shared" si="13"/>
        <v>1432632.7000000002</v>
      </c>
      <c r="F103" s="17">
        <v>0</v>
      </c>
      <c r="G103" s="19">
        <v>535869.9</v>
      </c>
      <c r="H103" s="19">
        <f>473469.9</f>
        <v>473469.9</v>
      </c>
      <c r="I103" s="19">
        <v>423292.9</v>
      </c>
      <c r="J103" s="19">
        <v>0</v>
      </c>
      <c r="K103" s="19">
        <v>0</v>
      </c>
    </row>
    <row r="104" spans="1:11" ht="18.75" customHeight="1">
      <c r="A104" s="46" t="s">
        <v>28</v>
      </c>
      <c r="B104" s="153" t="s">
        <v>278</v>
      </c>
      <c r="C104" s="150" t="s">
        <v>269</v>
      </c>
      <c r="D104" s="48" t="s">
        <v>44</v>
      </c>
      <c r="E104" s="24">
        <f t="shared" si="13"/>
        <v>57211.7</v>
      </c>
      <c r="F104" s="17">
        <f>SUM(F105:F107)</f>
        <v>0</v>
      </c>
      <c r="G104" s="17">
        <f t="shared" ref="G104:K104" si="100">SUM(G105:G107)</f>
        <v>0</v>
      </c>
      <c r="H104" s="17">
        <f t="shared" si="100"/>
        <v>0</v>
      </c>
      <c r="I104" s="17">
        <f t="shared" si="100"/>
        <v>0</v>
      </c>
      <c r="J104" s="17">
        <f t="shared" si="100"/>
        <v>62961.8</v>
      </c>
      <c r="K104" s="17">
        <f t="shared" si="100"/>
        <v>57211.7</v>
      </c>
    </row>
    <row r="105" spans="1:11">
      <c r="A105" s="46"/>
      <c r="B105" s="154"/>
      <c r="C105" s="151"/>
      <c r="D105" s="48" t="s">
        <v>42</v>
      </c>
      <c r="E105" s="24">
        <f t="shared" si="13"/>
        <v>8581.7999999999993</v>
      </c>
      <c r="F105" s="17">
        <f>F109+F113</f>
        <v>0</v>
      </c>
      <c r="G105" s="17">
        <f t="shared" ref="G105:J105" si="101">G109+G113</f>
        <v>0</v>
      </c>
      <c r="H105" s="17">
        <f t="shared" si="101"/>
        <v>0</v>
      </c>
      <c r="I105" s="17">
        <f t="shared" si="101"/>
        <v>0</v>
      </c>
      <c r="J105" s="17">
        <f t="shared" si="101"/>
        <v>8668.0999999999985</v>
      </c>
      <c r="K105" s="17">
        <f t="shared" ref="K105" si="102">K109+K113</f>
        <v>8581.7999999999993</v>
      </c>
    </row>
    <row r="106" spans="1:11">
      <c r="A106" s="46"/>
      <c r="B106" s="154"/>
      <c r="C106" s="151"/>
      <c r="D106" s="48" t="s">
        <v>43</v>
      </c>
      <c r="E106" s="24">
        <f t="shared" si="13"/>
        <v>48629.9</v>
      </c>
      <c r="F106" s="17">
        <f t="shared" ref="F106:J107" si="103">F110+F114</f>
        <v>0</v>
      </c>
      <c r="G106" s="17">
        <f t="shared" si="103"/>
        <v>0</v>
      </c>
      <c r="H106" s="17">
        <f t="shared" si="103"/>
        <v>0</v>
      </c>
      <c r="I106" s="17">
        <f t="shared" si="103"/>
        <v>0</v>
      </c>
      <c r="J106" s="17">
        <f t="shared" si="103"/>
        <v>54293.700000000004</v>
      </c>
      <c r="K106" s="17">
        <f t="shared" ref="K106" si="104">K110+K114</f>
        <v>48629.9</v>
      </c>
    </row>
    <row r="107" spans="1:11">
      <c r="A107" s="46"/>
      <c r="B107" s="155"/>
      <c r="C107" s="151"/>
      <c r="D107" s="48" t="s">
        <v>46</v>
      </c>
      <c r="E107" s="24">
        <f t="shared" si="13"/>
        <v>0</v>
      </c>
      <c r="F107" s="17">
        <f t="shared" si="103"/>
        <v>0</v>
      </c>
      <c r="G107" s="17">
        <f t="shared" si="103"/>
        <v>0</v>
      </c>
      <c r="H107" s="17">
        <f t="shared" si="103"/>
        <v>0</v>
      </c>
      <c r="I107" s="17">
        <f t="shared" si="103"/>
        <v>0</v>
      </c>
      <c r="J107" s="17">
        <f t="shared" si="103"/>
        <v>0</v>
      </c>
      <c r="K107" s="17">
        <f t="shared" ref="K107" si="105">K111+K115</f>
        <v>0</v>
      </c>
    </row>
    <row r="108" spans="1:11" ht="76.5" customHeight="1" outlineLevel="1">
      <c r="A108" s="145" t="s">
        <v>163</v>
      </c>
      <c r="B108" s="153" t="s">
        <v>273</v>
      </c>
      <c r="C108" s="150" t="s">
        <v>272</v>
      </c>
      <c r="D108" s="48" t="s">
        <v>44</v>
      </c>
      <c r="E108" s="24">
        <f t="shared" si="13"/>
        <v>57211.7</v>
      </c>
      <c r="F108" s="17">
        <f>SUM(F109:F111)</f>
        <v>0</v>
      </c>
      <c r="G108" s="17">
        <f t="shared" ref="G108" si="106">SUM(G109:G111)</f>
        <v>0</v>
      </c>
      <c r="H108" s="17">
        <f t="shared" ref="H108" si="107">SUM(H109:H111)</f>
        <v>0</v>
      </c>
      <c r="I108" s="17">
        <f t="shared" ref="I108" si="108">SUM(I109:I111)</f>
        <v>0</v>
      </c>
      <c r="J108" s="17">
        <f>'Отчет_лист 1'!H98</f>
        <v>57211.7</v>
      </c>
      <c r="K108" s="17">
        <f>'Отчет_лист 1'!I98</f>
        <v>57211.7</v>
      </c>
    </row>
    <row r="109" spans="1:11" ht="18.75" customHeight="1" outlineLevel="1">
      <c r="A109" s="145"/>
      <c r="B109" s="154"/>
      <c r="C109" s="151"/>
      <c r="D109" s="48" t="s">
        <v>42</v>
      </c>
      <c r="E109" s="24">
        <f t="shared" si="13"/>
        <v>8581.7999999999993</v>
      </c>
      <c r="F109" s="17">
        <v>0</v>
      </c>
      <c r="G109" s="19">
        <v>0</v>
      </c>
      <c r="H109" s="19">
        <v>0</v>
      </c>
      <c r="I109" s="19">
        <v>0</v>
      </c>
      <c r="J109" s="19">
        <v>8581.7999999999993</v>
      </c>
      <c r="K109" s="19">
        <v>8581.7999999999993</v>
      </c>
    </row>
    <row r="110" spans="1:11" ht="18.75" customHeight="1" outlineLevel="1">
      <c r="A110" s="145"/>
      <c r="B110" s="154"/>
      <c r="C110" s="151"/>
      <c r="D110" s="48" t="s">
        <v>43</v>
      </c>
      <c r="E110" s="24">
        <f t="shared" si="13"/>
        <v>48629.9</v>
      </c>
      <c r="F110" s="17">
        <v>0</v>
      </c>
      <c r="G110" s="19">
        <v>0</v>
      </c>
      <c r="H110" s="19">
        <v>0</v>
      </c>
      <c r="I110" s="19">
        <v>0</v>
      </c>
      <c r="J110" s="19">
        <v>48629.9</v>
      </c>
      <c r="K110" s="19">
        <v>48629.9</v>
      </c>
    </row>
    <row r="111" spans="1:11" ht="18.75" customHeight="1" outlineLevel="1">
      <c r="A111" s="145"/>
      <c r="B111" s="155"/>
      <c r="C111" s="151"/>
      <c r="D111" s="48" t="s">
        <v>46</v>
      </c>
      <c r="E111" s="24">
        <f t="shared" si="13"/>
        <v>0</v>
      </c>
      <c r="F111" s="17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23.25" customHeight="1" outlineLevel="1">
      <c r="A112" s="145" t="s">
        <v>161</v>
      </c>
      <c r="B112" s="153" t="s">
        <v>274</v>
      </c>
      <c r="C112" s="150" t="s">
        <v>256</v>
      </c>
      <c r="D112" s="48" t="s">
        <v>44</v>
      </c>
      <c r="E112" s="24">
        <f t="shared" si="13"/>
        <v>0</v>
      </c>
      <c r="F112" s="17">
        <f>SUM(F113:F115)</f>
        <v>0</v>
      </c>
      <c r="G112" s="17">
        <f t="shared" ref="G112" si="109">SUM(G113:G115)</f>
        <v>0</v>
      </c>
      <c r="H112" s="17">
        <f t="shared" ref="H112" si="110">SUM(H113:H115)</f>
        <v>0</v>
      </c>
      <c r="I112" s="17">
        <f t="shared" ref="I112" si="111">SUM(I113:I115)</f>
        <v>0</v>
      </c>
      <c r="J112" s="17">
        <f>'Отчет_лист 1'!H100</f>
        <v>5750.1</v>
      </c>
      <c r="K112" s="17">
        <f>'Отчет_лист 1'!I100</f>
        <v>0</v>
      </c>
    </row>
    <row r="113" spans="1:11" ht="18.75" customHeight="1" outlineLevel="1">
      <c r="A113" s="145"/>
      <c r="B113" s="154"/>
      <c r="C113" s="151"/>
      <c r="D113" s="48" t="s">
        <v>42</v>
      </c>
      <c r="E113" s="24">
        <f t="shared" si="13"/>
        <v>0</v>
      </c>
      <c r="F113" s="17">
        <v>0</v>
      </c>
      <c r="G113" s="19">
        <v>0</v>
      </c>
      <c r="H113" s="19">
        <v>0</v>
      </c>
      <c r="I113" s="19">
        <v>0</v>
      </c>
      <c r="J113" s="19">
        <v>86.3</v>
      </c>
      <c r="K113" s="19">
        <v>0</v>
      </c>
    </row>
    <row r="114" spans="1:11" ht="18.75" customHeight="1" outlineLevel="1">
      <c r="A114" s="145"/>
      <c r="B114" s="154"/>
      <c r="C114" s="151"/>
      <c r="D114" s="48" t="s">
        <v>43</v>
      </c>
      <c r="E114" s="24">
        <f t="shared" si="13"/>
        <v>0</v>
      </c>
      <c r="F114" s="17">
        <v>0</v>
      </c>
      <c r="G114" s="19">
        <v>0</v>
      </c>
      <c r="H114" s="19">
        <v>0</v>
      </c>
      <c r="I114" s="19">
        <v>0</v>
      </c>
      <c r="J114" s="19">
        <v>5663.8</v>
      </c>
      <c r="K114" s="19">
        <v>0</v>
      </c>
    </row>
    <row r="115" spans="1:11" ht="18.75" customHeight="1" outlineLevel="1">
      <c r="A115" s="145"/>
      <c r="B115" s="155"/>
      <c r="C115" s="151"/>
      <c r="D115" s="48" t="s">
        <v>46</v>
      </c>
      <c r="E115" s="24">
        <f t="shared" si="13"/>
        <v>0</v>
      </c>
      <c r="F115" s="17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</row>
    <row r="116" spans="1:11" ht="57" customHeight="1">
      <c r="A116" s="46" t="s">
        <v>30</v>
      </c>
      <c r="B116" s="153" t="s">
        <v>279</v>
      </c>
      <c r="C116" s="150" t="s">
        <v>272</v>
      </c>
      <c r="D116" s="48" t="s">
        <v>44</v>
      </c>
      <c r="E116" s="24">
        <f t="shared" ref="E116:E119" si="112">F116+G116+H116+I116+K116</f>
        <v>1446.5</v>
      </c>
      <c r="F116" s="17">
        <v>0</v>
      </c>
      <c r="G116" s="17">
        <v>0</v>
      </c>
      <c r="H116" s="17">
        <v>0</v>
      </c>
      <c r="I116" s="17">
        <v>0</v>
      </c>
      <c r="J116" s="17">
        <f>'Отчет_лист 1'!H104</f>
        <v>1455.5</v>
      </c>
      <c r="K116" s="17">
        <f>'Отчет_лист 1'!I104</f>
        <v>1446.5</v>
      </c>
    </row>
    <row r="117" spans="1:11">
      <c r="A117" s="46"/>
      <c r="B117" s="154"/>
      <c r="C117" s="151"/>
      <c r="D117" s="48" t="s">
        <v>42</v>
      </c>
      <c r="E117" s="24">
        <f t="shared" si="112"/>
        <v>216.971</v>
      </c>
      <c r="F117" s="17">
        <v>0</v>
      </c>
      <c r="G117" s="17">
        <v>0</v>
      </c>
      <c r="H117" s="17">
        <v>0</v>
      </c>
      <c r="I117" s="17">
        <v>0</v>
      </c>
      <c r="J117" s="17">
        <v>226</v>
      </c>
      <c r="K117" s="17">
        <f>84.8553+16.56428+40.5+68.81375+6.23767</f>
        <v>216.971</v>
      </c>
    </row>
    <row r="118" spans="1:11">
      <c r="A118" s="46"/>
      <c r="B118" s="154"/>
      <c r="C118" s="151"/>
      <c r="D118" s="48" t="s">
        <v>43</v>
      </c>
      <c r="E118" s="24">
        <f t="shared" si="112"/>
        <v>1057.37499</v>
      </c>
      <c r="F118" s="17">
        <v>0</v>
      </c>
      <c r="G118" s="17">
        <v>0</v>
      </c>
      <c r="H118" s="17">
        <v>0</v>
      </c>
      <c r="I118" s="17">
        <v>0</v>
      </c>
      <c r="J118" s="17">
        <v>1057.4000000000001</v>
      </c>
      <c r="K118" s="17">
        <f>480.8467+93.86329+57.375+389.9432+35.3468</f>
        <v>1057.37499</v>
      </c>
    </row>
    <row r="119" spans="1:11">
      <c r="A119" s="46"/>
      <c r="B119" s="155"/>
      <c r="C119" s="151"/>
      <c r="D119" s="48" t="s">
        <v>46</v>
      </c>
      <c r="E119" s="24">
        <f t="shared" si="112"/>
        <v>172.125</v>
      </c>
      <c r="F119" s="17">
        <v>0</v>
      </c>
      <c r="G119" s="17">
        <v>0</v>
      </c>
      <c r="H119" s="17">
        <v>0</v>
      </c>
      <c r="I119" s="17">
        <v>0</v>
      </c>
      <c r="J119" s="17">
        <v>172.1</v>
      </c>
      <c r="K119" s="17">
        <v>172.125</v>
      </c>
    </row>
    <row r="120" spans="1:11">
      <c r="A120" s="157" t="s">
        <v>291</v>
      </c>
      <c r="B120" s="147"/>
      <c r="C120" s="173"/>
      <c r="D120" s="16" t="s">
        <v>44</v>
      </c>
      <c r="E120" s="24">
        <f t="shared" si="13"/>
        <v>18134831.967429999</v>
      </c>
      <c r="F120" s="17">
        <f t="shared" ref="F120:H123" si="113">F124+F128</f>
        <v>2573216.7000000002</v>
      </c>
      <c r="G120" s="17">
        <f t="shared" si="113"/>
        <v>3399820.4000000004</v>
      </c>
      <c r="H120" s="17">
        <f t="shared" si="113"/>
        <v>3972928.4999999995</v>
      </c>
      <c r="I120" s="17">
        <v>4409963</v>
      </c>
      <c r="J120" s="17">
        <f t="shared" ref="J120:K123" si="114">J124+J128+J132</f>
        <v>3785591.9999999995</v>
      </c>
      <c r="K120" s="17">
        <f t="shared" si="114"/>
        <v>3778903.3674299996</v>
      </c>
    </row>
    <row r="121" spans="1:11">
      <c r="A121" s="158"/>
      <c r="B121" s="149"/>
      <c r="C121" s="174"/>
      <c r="D121" s="48" t="s">
        <v>42</v>
      </c>
      <c r="E121" s="24">
        <f t="shared" si="13"/>
        <v>5838345.9124500006</v>
      </c>
      <c r="F121" s="17">
        <f t="shared" si="113"/>
        <v>809067.2</v>
      </c>
      <c r="G121" s="17">
        <f t="shared" si="113"/>
        <v>995910.60000000009</v>
      </c>
      <c r="H121" s="17">
        <f t="shared" si="113"/>
        <v>1215089.3999999997</v>
      </c>
      <c r="I121" s="17">
        <v>1358706.2000000002</v>
      </c>
      <c r="J121" s="17">
        <f t="shared" si="114"/>
        <v>1459816.8</v>
      </c>
      <c r="K121" s="17">
        <f t="shared" si="114"/>
        <v>1459572.5124499998</v>
      </c>
    </row>
    <row r="122" spans="1:11">
      <c r="A122" s="158"/>
      <c r="B122" s="149"/>
      <c r="C122" s="174"/>
      <c r="D122" s="48" t="s">
        <v>43</v>
      </c>
      <c r="E122" s="24">
        <f t="shared" si="13"/>
        <v>10862287.729979999</v>
      </c>
      <c r="F122" s="17">
        <f t="shared" si="113"/>
        <v>1764149.5</v>
      </c>
      <c r="G122" s="17">
        <f t="shared" si="113"/>
        <v>1867664.7</v>
      </c>
      <c r="H122" s="17">
        <f t="shared" si="113"/>
        <v>2283686.9</v>
      </c>
      <c r="I122" s="17">
        <v>2627627.8999999994</v>
      </c>
      <c r="J122" s="17">
        <f t="shared" si="114"/>
        <v>2325603.0999999996</v>
      </c>
      <c r="K122" s="17">
        <f t="shared" si="114"/>
        <v>2319158.7299799998</v>
      </c>
    </row>
    <row r="123" spans="1:11">
      <c r="A123" s="158"/>
      <c r="B123" s="149"/>
      <c r="C123" s="175"/>
      <c r="D123" s="48" t="s">
        <v>46</v>
      </c>
      <c r="E123" s="24">
        <f t="shared" si="13"/>
        <v>1434198.3250000002</v>
      </c>
      <c r="F123" s="17">
        <f t="shared" si="113"/>
        <v>0</v>
      </c>
      <c r="G123" s="17">
        <f t="shared" si="113"/>
        <v>536245.1</v>
      </c>
      <c r="H123" s="17">
        <f t="shared" si="113"/>
        <v>474152.2</v>
      </c>
      <c r="I123" s="17">
        <v>423628.9</v>
      </c>
      <c r="J123" s="17">
        <f t="shared" si="114"/>
        <v>172.1</v>
      </c>
      <c r="K123" s="17">
        <f t="shared" si="114"/>
        <v>172.125</v>
      </c>
    </row>
    <row r="124" spans="1:11">
      <c r="A124" s="158"/>
      <c r="B124" s="149"/>
      <c r="C124" s="176" t="s">
        <v>20</v>
      </c>
      <c r="D124" s="48" t="s">
        <v>74</v>
      </c>
      <c r="E124" s="24">
        <f t="shared" si="13"/>
        <v>15496573.867430001</v>
      </c>
      <c r="F124" s="17">
        <f t="shared" ref="F124:H124" si="115">SUM(F125:F127)</f>
        <v>2573216.7000000002</v>
      </c>
      <c r="G124" s="17">
        <f t="shared" si="115"/>
        <v>2850049.2</v>
      </c>
      <c r="H124" s="17">
        <f t="shared" si="115"/>
        <v>2966016.8999999994</v>
      </c>
      <c r="I124" s="17">
        <v>3328426.9</v>
      </c>
      <c r="J124" s="17">
        <f>SUM(J125:J127)</f>
        <v>3779802.6999999997</v>
      </c>
      <c r="K124" s="17">
        <f>SUM(K125:K127)</f>
        <v>3778864.1674299994</v>
      </c>
    </row>
    <row r="125" spans="1:11">
      <c r="A125" s="158"/>
      <c r="B125" s="149"/>
      <c r="C125" s="177"/>
      <c r="D125" s="48" t="s">
        <v>42</v>
      </c>
      <c r="E125" s="24">
        <f t="shared" si="13"/>
        <v>5797857.4124499997</v>
      </c>
      <c r="F125" s="17">
        <f>F75+F87+F90+F91+F93+F96+F98</f>
        <v>809067.2</v>
      </c>
      <c r="G125" s="17">
        <f>G75+G87+G90+G91+G93+G96+G98</f>
        <v>982009.3</v>
      </c>
      <c r="H125" s="17">
        <f>H75+H87+H90+H91+H93+H96+H98</f>
        <v>1204764.3999999997</v>
      </c>
      <c r="I125" s="17">
        <v>1342483.2000000002</v>
      </c>
      <c r="J125" s="17">
        <f>J79+J87+J90+J91+J93+J96+J98+J109+J117</f>
        <v>1459691.3</v>
      </c>
      <c r="K125" s="17">
        <f>K79+K87+K90+K91+K93+K96+K98+K109+K117</f>
        <v>1459533.3124499999</v>
      </c>
    </row>
    <row r="126" spans="1:11">
      <c r="A126" s="158"/>
      <c r="B126" s="149"/>
      <c r="C126" s="177"/>
      <c r="D126" s="48" t="s">
        <v>43</v>
      </c>
      <c r="E126" s="24">
        <f t="shared" si="13"/>
        <v>9697150.829979999</v>
      </c>
      <c r="F126" s="17">
        <f>F76+F88+F94+F99</f>
        <v>1764149.5</v>
      </c>
      <c r="G126" s="17">
        <f>G76+G88+G94+G99</f>
        <v>1867664.7</v>
      </c>
      <c r="H126" s="17">
        <f>H76+H88+H94+H99</f>
        <v>1760570.2</v>
      </c>
      <c r="I126" s="17">
        <v>1985607.6999999997</v>
      </c>
      <c r="J126" s="17">
        <f>J80+J88+J94+J99+J110+J118</f>
        <v>2319939.2999999998</v>
      </c>
      <c r="K126" s="17">
        <f>K80+K88+K94+K99+K110+K118</f>
        <v>2319158.7299799998</v>
      </c>
    </row>
    <row r="127" spans="1:11">
      <c r="A127" s="158"/>
      <c r="B127" s="149"/>
      <c r="C127" s="178"/>
      <c r="D127" s="48" t="s">
        <v>46</v>
      </c>
      <c r="E127" s="24">
        <f t="shared" si="13"/>
        <v>1565.625</v>
      </c>
      <c r="F127" s="17">
        <f>F89+F95</f>
        <v>0</v>
      </c>
      <c r="G127" s="17">
        <f>G89+G95</f>
        <v>375.2</v>
      </c>
      <c r="H127" s="17">
        <f>H89+H95</f>
        <v>682.3</v>
      </c>
      <c r="I127" s="17">
        <v>336</v>
      </c>
      <c r="J127" s="17">
        <f>J81+J89+J95+J111+J119</f>
        <v>172.1</v>
      </c>
      <c r="K127" s="17">
        <f>K81+K89+K95+K111+K119</f>
        <v>172.125</v>
      </c>
    </row>
    <row r="128" spans="1:11">
      <c r="A128" s="158"/>
      <c r="B128" s="149"/>
      <c r="C128" s="150" t="s">
        <v>61</v>
      </c>
      <c r="D128" s="48" t="s">
        <v>74</v>
      </c>
      <c r="E128" s="24">
        <f t="shared" si="13"/>
        <v>2638218.9000000004</v>
      </c>
      <c r="F128" s="17">
        <f t="shared" ref="F128:H128" si="116">SUM(F129:F131)</f>
        <v>0</v>
      </c>
      <c r="G128" s="17">
        <f t="shared" si="116"/>
        <v>549771.20000000007</v>
      </c>
      <c r="H128" s="17">
        <f t="shared" si="116"/>
        <v>1006911.6</v>
      </c>
      <c r="I128" s="17">
        <v>1081536.1000000001</v>
      </c>
      <c r="J128" s="17">
        <f>SUM(J129:J131)</f>
        <v>0</v>
      </c>
      <c r="K128" s="17">
        <f>SUM(K129:K131)</f>
        <v>0</v>
      </c>
    </row>
    <row r="129" spans="1:11">
      <c r="A129" s="158"/>
      <c r="B129" s="149"/>
      <c r="C129" s="151"/>
      <c r="D129" s="48" t="s">
        <v>42</v>
      </c>
      <c r="E129" s="24">
        <f t="shared" si="13"/>
        <v>40449.300000000003</v>
      </c>
      <c r="F129" s="17">
        <f t="shared" ref="F129:H131" si="117">F101</f>
        <v>0</v>
      </c>
      <c r="G129" s="17">
        <f t="shared" si="117"/>
        <v>13901.3</v>
      </c>
      <c r="H129" s="17">
        <f t="shared" si="117"/>
        <v>10325</v>
      </c>
      <c r="I129" s="17">
        <v>16223</v>
      </c>
      <c r="J129" s="17">
        <f t="shared" ref="J129:K131" si="118">J101</f>
        <v>0</v>
      </c>
      <c r="K129" s="17">
        <f t="shared" si="118"/>
        <v>0</v>
      </c>
    </row>
    <row r="130" spans="1:11">
      <c r="A130" s="158"/>
      <c r="B130" s="149"/>
      <c r="C130" s="151"/>
      <c r="D130" s="48" t="s">
        <v>43</v>
      </c>
      <c r="E130" s="24">
        <f t="shared" si="13"/>
        <v>1165136.8999999999</v>
      </c>
      <c r="F130" s="17">
        <f t="shared" si="117"/>
        <v>0</v>
      </c>
      <c r="G130" s="17">
        <f t="shared" si="117"/>
        <v>0</v>
      </c>
      <c r="H130" s="17">
        <f t="shared" si="117"/>
        <v>523116.7</v>
      </c>
      <c r="I130" s="17">
        <v>642020.19999999995</v>
      </c>
      <c r="J130" s="17">
        <f t="shared" si="118"/>
        <v>0</v>
      </c>
      <c r="K130" s="17">
        <f t="shared" si="118"/>
        <v>0</v>
      </c>
    </row>
    <row r="131" spans="1:11">
      <c r="A131" s="158"/>
      <c r="B131" s="149"/>
      <c r="C131" s="47"/>
      <c r="D131" s="48" t="s">
        <v>46</v>
      </c>
      <c r="E131" s="24">
        <f t="shared" si="13"/>
        <v>1432632.7000000002</v>
      </c>
      <c r="F131" s="17">
        <f t="shared" si="117"/>
        <v>0</v>
      </c>
      <c r="G131" s="17">
        <f t="shared" si="117"/>
        <v>535869.9</v>
      </c>
      <c r="H131" s="17">
        <f t="shared" si="117"/>
        <v>473469.9</v>
      </c>
      <c r="I131" s="17">
        <v>423292.9</v>
      </c>
      <c r="J131" s="17">
        <f t="shared" si="118"/>
        <v>0</v>
      </c>
      <c r="K131" s="17">
        <f t="shared" si="118"/>
        <v>0</v>
      </c>
    </row>
    <row r="132" spans="1:11">
      <c r="A132" s="158"/>
      <c r="B132" s="149"/>
      <c r="C132" s="150" t="s">
        <v>256</v>
      </c>
      <c r="D132" s="48" t="s">
        <v>74</v>
      </c>
      <c r="E132" s="24">
        <f t="shared" ref="E132:E135" si="119">F132+G132+H132+I132+K132</f>
        <v>1081575.3</v>
      </c>
      <c r="F132" s="17">
        <f t="shared" ref="F132:H132" si="120">SUM(F133:F135)</f>
        <v>0</v>
      </c>
      <c r="G132" s="17">
        <f t="shared" si="120"/>
        <v>0</v>
      </c>
      <c r="H132" s="17">
        <f t="shared" si="120"/>
        <v>0</v>
      </c>
      <c r="I132" s="17">
        <v>1081536.1000000001</v>
      </c>
      <c r="J132" s="17">
        <f>SUM(J133:J135)</f>
        <v>5789.3</v>
      </c>
      <c r="K132" s="17">
        <f>SUM(K133:K135)</f>
        <v>39.200000000000003</v>
      </c>
    </row>
    <row r="133" spans="1:11">
      <c r="A133" s="158"/>
      <c r="B133" s="149"/>
      <c r="C133" s="151"/>
      <c r="D133" s="48" t="s">
        <v>42</v>
      </c>
      <c r="E133" s="24">
        <f t="shared" si="119"/>
        <v>39.200000000000003</v>
      </c>
      <c r="F133" s="17">
        <f>F83+F113</f>
        <v>0</v>
      </c>
      <c r="G133" s="17">
        <f t="shared" ref="G133:J133" si="121">G83+G113</f>
        <v>0</v>
      </c>
      <c r="H133" s="17">
        <f t="shared" si="121"/>
        <v>0</v>
      </c>
      <c r="I133" s="17">
        <f t="shared" si="121"/>
        <v>0</v>
      </c>
      <c r="J133" s="17">
        <f t="shared" si="121"/>
        <v>125.5</v>
      </c>
      <c r="K133" s="17">
        <f t="shared" ref="K133" si="122">K83+K113</f>
        <v>39.200000000000003</v>
      </c>
    </row>
    <row r="134" spans="1:11">
      <c r="A134" s="158"/>
      <c r="B134" s="149"/>
      <c r="C134" s="151"/>
      <c r="D134" s="48" t="s">
        <v>43</v>
      </c>
      <c r="E134" s="24">
        <f t="shared" si="119"/>
        <v>0</v>
      </c>
      <c r="F134" s="17">
        <f>F84+F114</f>
        <v>0</v>
      </c>
      <c r="G134" s="17">
        <f t="shared" ref="G134:J134" si="123">G84+G114</f>
        <v>0</v>
      </c>
      <c r="H134" s="17">
        <f t="shared" si="123"/>
        <v>0</v>
      </c>
      <c r="I134" s="17">
        <f t="shared" si="123"/>
        <v>0</v>
      </c>
      <c r="J134" s="17">
        <f t="shared" si="123"/>
        <v>5663.8</v>
      </c>
      <c r="K134" s="17">
        <f t="shared" ref="K134" si="124">K84+K114</f>
        <v>0</v>
      </c>
    </row>
    <row r="135" spans="1:11">
      <c r="A135" s="159"/>
      <c r="B135" s="160"/>
      <c r="C135" s="47"/>
      <c r="D135" s="48" t="s">
        <v>46</v>
      </c>
      <c r="E135" s="24">
        <f t="shared" si="119"/>
        <v>0</v>
      </c>
      <c r="F135" s="17">
        <f>F85+F115</f>
        <v>0</v>
      </c>
      <c r="G135" s="17">
        <f t="shared" ref="G135:J135" si="125">G85+G115</f>
        <v>0</v>
      </c>
      <c r="H135" s="17">
        <f t="shared" si="125"/>
        <v>0</v>
      </c>
      <c r="I135" s="17">
        <f t="shared" si="125"/>
        <v>0</v>
      </c>
      <c r="J135" s="17">
        <f t="shared" si="125"/>
        <v>0</v>
      </c>
      <c r="K135" s="17">
        <f t="shared" ref="K135" si="126">K85+K115</f>
        <v>0</v>
      </c>
    </row>
    <row r="136" spans="1:11" ht="38.25" customHeight="1">
      <c r="A136" s="161" t="s">
        <v>166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3"/>
    </row>
    <row r="137" spans="1:11" ht="54" customHeight="1">
      <c r="A137" s="71" t="s">
        <v>31</v>
      </c>
      <c r="B137" s="161" t="s">
        <v>280</v>
      </c>
      <c r="C137" s="162"/>
      <c r="D137" s="163"/>
      <c r="E137" s="24">
        <f t="shared" si="13"/>
        <v>819101.56248000008</v>
      </c>
      <c r="F137" s="17">
        <f>F138+F141+F145</f>
        <v>116057.60000000001</v>
      </c>
      <c r="G137" s="17">
        <v>283567.2</v>
      </c>
      <c r="H137" s="17">
        <v>290459.40000000002</v>
      </c>
      <c r="I137" s="17">
        <v>62599.662479999999</v>
      </c>
      <c r="J137" s="17">
        <f>'Отчет_лист 1'!H107</f>
        <v>66533.400000000009</v>
      </c>
      <c r="K137" s="17">
        <f>'Отчет_лист 1'!I107</f>
        <v>66417.700000000012</v>
      </c>
    </row>
    <row r="138" spans="1:11" outlineLevel="1">
      <c r="A138" s="145" t="s">
        <v>168</v>
      </c>
      <c r="B138" s="167" t="s">
        <v>45</v>
      </c>
      <c r="C138" s="113" t="s">
        <v>286</v>
      </c>
      <c r="D138" s="16" t="s">
        <v>44</v>
      </c>
      <c r="E138" s="24">
        <f t="shared" si="13"/>
        <v>283739.06247999996</v>
      </c>
      <c r="F138" s="17">
        <v>25490.3</v>
      </c>
      <c r="G138" s="17">
        <v>64780.4</v>
      </c>
      <c r="H138" s="17">
        <v>64553.399999999994</v>
      </c>
      <c r="I138" s="17">
        <v>62497.262479999998</v>
      </c>
      <c r="J138" s="17">
        <f>'Отчет_лист 1'!H108</f>
        <v>66533.400000000009</v>
      </c>
      <c r="K138" s="17">
        <f>'Отчет_лист 1'!I108</f>
        <v>66417.700000000012</v>
      </c>
    </row>
    <row r="139" spans="1:11" outlineLevel="1">
      <c r="A139" s="145"/>
      <c r="B139" s="167"/>
      <c r="C139" s="113"/>
      <c r="D139" s="48" t="s">
        <v>42</v>
      </c>
      <c r="E139" s="24">
        <f t="shared" si="13"/>
        <v>147847.614</v>
      </c>
      <c r="F139" s="17">
        <v>25490.3</v>
      </c>
      <c r="G139" s="17">
        <v>30807.200000000001</v>
      </c>
      <c r="H139" s="17">
        <v>33041.199999999997</v>
      </c>
      <c r="I139" s="17">
        <v>27937.114000000001</v>
      </c>
      <c r="J139" s="17">
        <v>30687.5</v>
      </c>
      <c r="K139" s="17">
        <v>30571.8</v>
      </c>
    </row>
    <row r="140" spans="1:11" outlineLevel="1">
      <c r="A140" s="145"/>
      <c r="B140" s="167"/>
      <c r="C140" s="113"/>
      <c r="D140" s="48" t="s">
        <v>43</v>
      </c>
      <c r="E140" s="24">
        <f t="shared" si="13"/>
        <v>135891.50435</v>
      </c>
      <c r="F140" s="17">
        <v>0</v>
      </c>
      <c r="G140" s="17">
        <v>33973.199999999997</v>
      </c>
      <c r="H140" s="17">
        <v>31512.2</v>
      </c>
      <c r="I140" s="17">
        <v>34560.20435</v>
      </c>
      <c r="J140" s="17">
        <v>35845.9</v>
      </c>
      <c r="K140" s="17">
        <v>35845.9</v>
      </c>
    </row>
    <row r="141" spans="1:11" ht="74.25" customHeight="1" outlineLevel="1">
      <c r="A141" s="39" t="s">
        <v>281</v>
      </c>
      <c r="B141" s="41" t="s">
        <v>63</v>
      </c>
      <c r="C141" s="39" t="s">
        <v>52</v>
      </c>
      <c r="D141" s="48" t="s">
        <v>42</v>
      </c>
      <c r="E141" s="24">
        <f t="shared" si="13"/>
        <v>11515.9</v>
      </c>
      <c r="F141" s="17">
        <v>5305.3</v>
      </c>
      <c r="G141" s="17">
        <v>4000</v>
      </c>
      <c r="H141" s="17">
        <v>2182.6999999999998</v>
      </c>
      <c r="I141" s="17">
        <v>27.9</v>
      </c>
      <c r="J141" s="17">
        <v>0</v>
      </c>
      <c r="K141" s="17">
        <v>0</v>
      </c>
    </row>
    <row r="142" spans="1:11" ht="56.25" customHeight="1" outlineLevel="1">
      <c r="A142" s="39" t="s">
        <v>282</v>
      </c>
      <c r="B142" s="41" t="s">
        <v>64</v>
      </c>
      <c r="C142" s="39" t="s">
        <v>52</v>
      </c>
      <c r="D142" s="48" t="s">
        <v>42</v>
      </c>
      <c r="E142" s="24">
        <f t="shared" ref="E142:E148" si="127">F142+G142+H142+I142+K142</f>
        <v>172.5</v>
      </c>
      <c r="F142" s="17">
        <v>0</v>
      </c>
      <c r="G142" s="17">
        <v>98</v>
      </c>
      <c r="H142" s="17">
        <v>0</v>
      </c>
      <c r="I142" s="17">
        <v>74.5</v>
      </c>
      <c r="J142" s="17">
        <v>0</v>
      </c>
      <c r="K142" s="17">
        <v>0</v>
      </c>
    </row>
    <row r="143" spans="1:11" ht="56.25" customHeight="1" outlineLevel="1">
      <c r="A143" s="39" t="s">
        <v>283</v>
      </c>
      <c r="B143" s="41" t="s">
        <v>65</v>
      </c>
      <c r="C143" s="39" t="s">
        <v>52</v>
      </c>
      <c r="D143" s="48" t="s">
        <v>42</v>
      </c>
      <c r="E143" s="24">
        <f t="shared" si="127"/>
        <v>924.4</v>
      </c>
      <c r="F143" s="17">
        <v>0</v>
      </c>
      <c r="G143" s="17">
        <v>924.4</v>
      </c>
      <c r="H143" s="17">
        <v>0</v>
      </c>
      <c r="I143" s="17">
        <v>0</v>
      </c>
      <c r="J143" s="17">
        <v>0</v>
      </c>
      <c r="K143" s="17">
        <v>0</v>
      </c>
    </row>
    <row r="144" spans="1:11" ht="74.25" customHeight="1" outlineLevel="1">
      <c r="A144" s="39" t="s">
        <v>284</v>
      </c>
      <c r="B144" s="41" t="s">
        <v>70</v>
      </c>
      <c r="C144" s="39" t="s">
        <v>52</v>
      </c>
      <c r="D144" s="48" t="s">
        <v>42</v>
      </c>
      <c r="E144" s="24">
        <f t="shared" si="127"/>
        <v>100</v>
      </c>
      <c r="F144" s="17">
        <v>0</v>
      </c>
      <c r="G144" s="17">
        <v>0</v>
      </c>
      <c r="H144" s="17">
        <v>100</v>
      </c>
      <c r="I144" s="17">
        <v>0</v>
      </c>
      <c r="J144" s="17">
        <v>0</v>
      </c>
      <c r="K144" s="17">
        <v>0</v>
      </c>
    </row>
    <row r="145" spans="1:11" outlineLevel="1">
      <c r="A145" s="145" t="s">
        <v>285</v>
      </c>
      <c r="B145" s="167" t="s">
        <v>24</v>
      </c>
      <c r="C145" s="16"/>
      <c r="D145" s="16" t="s">
        <v>44</v>
      </c>
      <c r="E145" s="24">
        <f t="shared" si="127"/>
        <v>522649.70000000007</v>
      </c>
      <c r="F145" s="17">
        <v>85262</v>
      </c>
      <c r="G145" s="17">
        <v>213764.40000000002</v>
      </c>
      <c r="H145" s="17">
        <v>223623.30000000002</v>
      </c>
      <c r="I145" s="17">
        <v>0</v>
      </c>
      <c r="J145" s="17">
        <v>0</v>
      </c>
      <c r="K145" s="17">
        <v>0</v>
      </c>
    </row>
    <row r="146" spans="1:11" outlineLevel="1">
      <c r="A146" s="145"/>
      <c r="B146" s="167"/>
      <c r="C146" s="68" t="s">
        <v>287</v>
      </c>
      <c r="D146" s="48" t="s">
        <v>42</v>
      </c>
      <c r="E146" s="24">
        <f t="shared" si="127"/>
        <v>266913.40000000002</v>
      </c>
      <c r="F146" s="17">
        <v>85262</v>
      </c>
      <c r="G146" s="17">
        <v>87264.5</v>
      </c>
      <c r="H146" s="17">
        <v>94386.9</v>
      </c>
      <c r="I146" s="17">
        <v>0</v>
      </c>
      <c r="J146" s="17">
        <v>0</v>
      </c>
      <c r="K146" s="17">
        <v>0</v>
      </c>
    </row>
    <row r="147" spans="1:11" outlineLevel="1">
      <c r="A147" s="145"/>
      <c r="B147" s="167"/>
      <c r="C147" s="150" t="s">
        <v>66</v>
      </c>
      <c r="D147" s="48" t="s">
        <v>43</v>
      </c>
      <c r="E147" s="24">
        <f t="shared" si="127"/>
        <v>248914.6</v>
      </c>
      <c r="F147" s="17">
        <v>0</v>
      </c>
      <c r="G147" s="17">
        <v>123338.6</v>
      </c>
      <c r="H147" s="17">
        <v>125576</v>
      </c>
      <c r="I147" s="17">
        <v>0</v>
      </c>
      <c r="J147" s="17">
        <v>0</v>
      </c>
      <c r="K147" s="17">
        <v>0</v>
      </c>
    </row>
    <row r="148" spans="1:11" outlineLevel="1">
      <c r="A148" s="145"/>
      <c r="B148" s="167"/>
      <c r="C148" s="152"/>
      <c r="D148" s="18" t="s">
        <v>46</v>
      </c>
      <c r="E148" s="24">
        <f t="shared" si="127"/>
        <v>6821.7000000000007</v>
      </c>
      <c r="F148" s="17">
        <v>0</v>
      </c>
      <c r="G148" s="17">
        <v>3161.3</v>
      </c>
      <c r="H148" s="17">
        <v>3660.4</v>
      </c>
      <c r="I148" s="17">
        <v>0</v>
      </c>
      <c r="J148" s="19">
        <v>0</v>
      </c>
      <c r="K148" s="19">
        <v>0</v>
      </c>
    </row>
    <row r="149" spans="1:11">
      <c r="A149" s="156" t="s">
        <v>290</v>
      </c>
      <c r="B149" s="156"/>
      <c r="C149" s="107" t="s">
        <v>288</v>
      </c>
      <c r="D149" s="16" t="s">
        <v>44</v>
      </c>
      <c r="E149" s="24">
        <f t="shared" ref="E149:E173" si="128">F149+G149+H149+I149+K149</f>
        <v>819101.61835</v>
      </c>
      <c r="F149" s="17">
        <f t="shared" ref="F149:H149" si="129">SUM(F150:F152)</f>
        <v>116057.60000000001</v>
      </c>
      <c r="G149" s="17">
        <f t="shared" si="129"/>
        <v>283567.2</v>
      </c>
      <c r="H149" s="17">
        <f t="shared" si="129"/>
        <v>290459.40000000002</v>
      </c>
      <c r="I149" s="17">
        <f>SUM(I150:I152)</f>
        <v>62599.718350000003</v>
      </c>
      <c r="J149" s="17">
        <f>SUM(J150:J152)</f>
        <v>66533.399999999994</v>
      </c>
      <c r="K149" s="17">
        <f>SUM(K150:K152)</f>
        <v>66417.7</v>
      </c>
    </row>
    <row r="150" spans="1:11">
      <c r="A150" s="156"/>
      <c r="B150" s="156"/>
      <c r="C150" s="108"/>
      <c r="D150" s="48" t="s">
        <v>42</v>
      </c>
      <c r="E150" s="24">
        <f t="shared" si="128"/>
        <v>427473.81400000001</v>
      </c>
      <c r="F150" s="17">
        <f t="shared" ref="F150:J150" si="130">F139+F141+F142+F143+F144+F146</f>
        <v>116057.60000000001</v>
      </c>
      <c r="G150" s="17">
        <f t="shared" si="130"/>
        <v>123094.1</v>
      </c>
      <c r="H150" s="17">
        <f t="shared" si="130"/>
        <v>129710.79999999999</v>
      </c>
      <c r="I150" s="17">
        <f t="shared" si="130"/>
        <v>28039.514000000003</v>
      </c>
      <c r="J150" s="17">
        <f t="shared" si="130"/>
        <v>30687.5</v>
      </c>
      <c r="K150" s="17">
        <f t="shared" ref="K150" si="131">K139+K141+K142+K143+K144+K146</f>
        <v>30571.8</v>
      </c>
    </row>
    <row r="151" spans="1:11">
      <c r="A151" s="156"/>
      <c r="B151" s="156"/>
      <c r="C151" s="108"/>
      <c r="D151" s="48" t="s">
        <v>43</v>
      </c>
      <c r="E151" s="24">
        <f t="shared" si="128"/>
        <v>384806.10435000004</v>
      </c>
      <c r="F151" s="17">
        <f t="shared" ref="F151:K151" si="132">F140+F147</f>
        <v>0</v>
      </c>
      <c r="G151" s="17">
        <f t="shared" si="132"/>
        <v>157311.79999999999</v>
      </c>
      <c r="H151" s="17">
        <f t="shared" si="132"/>
        <v>157088.20000000001</v>
      </c>
      <c r="I151" s="17">
        <f t="shared" si="132"/>
        <v>34560.20435</v>
      </c>
      <c r="J151" s="17">
        <f t="shared" si="132"/>
        <v>35845.9</v>
      </c>
      <c r="K151" s="17">
        <f t="shared" si="132"/>
        <v>35845.9</v>
      </c>
    </row>
    <row r="152" spans="1:11">
      <c r="A152" s="156"/>
      <c r="B152" s="156"/>
      <c r="C152" s="109"/>
      <c r="D152" s="16" t="s">
        <v>46</v>
      </c>
      <c r="E152" s="24">
        <f t="shared" si="128"/>
        <v>6821.7000000000007</v>
      </c>
      <c r="F152" s="17">
        <f t="shared" ref="F152:K152" si="133">F148</f>
        <v>0</v>
      </c>
      <c r="G152" s="17">
        <f t="shared" si="133"/>
        <v>3161.3</v>
      </c>
      <c r="H152" s="17">
        <f t="shared" si="133"/>
        <v>3660.4</v>
      </c>
      <c r="I152" s="17">
        <f t="shared" si="133"/>
        <v>0</v>
      </c>
      <c r="J152" s="17">
        <f t="shared" si="133"/>
        <v>0</v>
      </c>
      <c r="K152" s="17">
        <f t="shared" si="133"/>
        <v>0</v>
      </c>
    </row>
    <row r="153" spans="1:11">
      <c r="A153" s="69" t="s">
        <v>179</v>
      </c>
      <c r="B153" s="70"/>
      <c r="C153" s="70"/>
      <c r="D153" s="70"/>
      <c r="E153" s="70"/>
      <c r="F153" s="70"/>
      <c r="G153" s="70"/>
      <c r="H153" s="70"/>
      <c r="I153" s="70"/>
      <c r="J153" s="73"/>
      <c r="K153" s="74"/>
    </row>
    <row r="154" spans="1:11" ht="36.75" customHeight="1">
      <c r="A154" s="26" t="s">
        <v>32</v>
      </c>
      <c r="B154" s="161" t="s">
        <v>289</v>
      </c>
      <c r="C154" s="162"/>
      <c r="D154" s="163"/>
      <c r="E154" s="24">
        <f t="shared" si="128"/>
        <v>437111.22129999998</v>
      </c>
      <c r="F154" s="17">
        <f t="shared" ref="F154:H154" si="134">F155</f>
        <v>0</v>
      </c>
      <c r="G154" s="17">
        <f t="shared" si="134"/>
        <v>35779.5</v>
      </c>
      <c r="H154" s="17">
        <f t="shared" si="134"/>
        <v>36697.554000000004</v>
      </c>
      <c r="I154" s="17">
        <f>I155</f>
        <v>175872.46729999999</v>
      </c>
      <c r="J154" s="17">
        <f>'Отчет_лист 1'!H122</f>
        <v>191172.4</v>
      </c>
      <c r="K154" s="17">
        <f>'Отчет_лист 1'!I122</f>
        <v>188761.7</v>
      </c>
    </row>
    <row r="155" spans="1:11" ht="18.75" customHeight="1">
      <c r="A155" s="150" t="s">
        <v>181</v>
      </c>
      <c r="B155" s="153" t="s">
        <v>180</v>
      </c>
      <c r="C155" s="150" t="s">
        <v>66</v>
      </c>
      <c r="D155" s="16" t="s">
        <v>44</v>
      </c>
      <c r="E155" s="24">
        <f t="shared" si="128"/>
        <v>290907.32130000001</v>
      </c>
      <c r="F155" s="17">
        <f t="shared" ref="F155:I155" si="135">SUM(F156:F158)</f>
        <v>0</v>
      </c>
      <c r="G155" s="17">
        <f t="shared" si="135"/>
        <v>35779.5</v>
      </c>
      <c r="H155" s="17">
        <f t="shared" si="135"/>
        <v>36697.554000000004</v>
      </c>
      <c r="I155" s="17">
        <f t="shared" si="135"/>
        <v>175872.46729999999</v>
      </c>
      <c r="J155" s="17">
        <f>'Отчет_лист 1'!H123</f>
        <v>42762.399999999994</v>
      </c>
      <c r="K155" s="17">
        <f>'Отчет_лист 1'!I123</f>
        <v>42557.8</v>
      </c>
    </row>
    <row r="156" spans="1:11">
      <c r="A156" s="151"/>
      <c r="B156" s="154"/>
      <c r="C156" s="151"/>
      <c r="D156" s="48" t="s">
        <v>42</v>
      </c>
      <c r="E156" s="24">
        <f t="shared" si="128"/>
        <v>120064.87075</v>
      </c>
      <c r="F156" s="17">
        <f>F151</f>
        <v>0</v>
      </c>
      <c r="G156" s="17">
        <v>28832</v>
      </c>
      <c r="H156" s="17">
        <v>29750.054</v>
      </c>
      <c r="I156" s="17">
        <v>29653.516749999999</v>
      </c>
      <c r="J156" s="17">
        <v>32033.9</v>
      </c>
      <c r="K156" s="17">
        <v>31829.3</v>
      </c>
    </row>
    <row r="157" spans="1:11">
      <c r="A157" s="151"/>
      <c r="B157" s="154"/>
      <c r="C157" s="151"/>
      <c r="D157" s="48" t="s">
        <v>43</v>
      </c>
      <c r="E157" s="24">
        <f t="shared" si="128"/>
        <v>167462.12811999998</v>
      </c>
      <c r="F157" s="17">
        <f>F152</f>
        <v>0</v>
      </c>
      <c r="G157" s="17">
        <v>6947.5</v>
      </c>
      <c r="H157" s="17">
        <v>6947.5</v>
      </c>
      <c r="I157" s="17">
        <v>142838.62811999998</v>
      </c>
      <c r="J157" s="17">
        <f>10728.3+0.2</f>
        <v>10728.5</v>
      </c>
      <c r="K157" s="17">
        <f>10728.3+0.2</f>
        <v>10728.5</v>
      </c>
    </row>
    <row r="158" spans="1:11">
      <c r="A158" s="152"/>
      <c r="B158" s="155"/>
      <c r="C158" s="152"/>
      <c r="D158" s="14" t="s">
        <v>46</v>
      </c>
      <c r="E158" s="24">
        <f t="shared" si="128"/>
        <v>3380.3224300000002</v>
      </c>
      <c r="F158" s="28">
        <v>0</v>
      </c>
      <c r="G158" s="28">
        <v>0</v>
      </c>
      <c r="H158" s="28">
        <v>0</v>
      </c>
      <c r="I158" s="17">
        <v>3380.3224300000002</v>
      </c>
      <c r="J158" s="17">
        <v>0</v>
      </c>
      <c r="K158" s="28">
        <v>0</v>
      </c>
    </row>
    <row r="159" spans="1:11" ht="18.75" customHeight="1">
      <c r="A159" s="45" t="s">
        <v>191</v>
      </c>
      <c r="B159" s="42" t="s">
        <v>183</v>
      </c>
      <c r="C159" s="45" t="s">
        <v>66</v>
      </c>
      <c r="D159" s="48" t="s">
        <v>42</v>
      </c>
      <c r="E159" s="24">
        <f t="shared" si="128"/>
        <v>300</v>
      </c>
      <c r="F159" s="17">
        <v>0</v>
      </c>
      <c r="G159" s="17">
        <v>0</v>
      </c>
      <c r="H159" s="17">
        <v>0</v>
      </c>
      <c r="I159" s="17">
        <v>0</v>
      </c>
      <c r="J159" s="17">
        <f>'Отчет_лист 1'!H125</f>
        <v>300</v>
      </c>
      <c r="K159" s="17">
        <f>'Отчет_лист 1'!I125</f>
        <v>300</v>
      </c>
    </row>
    <row r="160" spans="1:11" ht="18.75" customHeight="1">
      <c r="A160" s="150" t="s">
        <v>190</v>
      </c>
      <c r="B160" s="153" t="s">
        <v>197</v>
      </c>
      <c r="C160" s="150" t="s">
        <v>66</v>
      </c>
      <c r="D160" s="16" t="s">
        <v>44</v>
      </c>
      <c r="E160" s="24">
        <f t="shared" si="128"/>
        <v>306017.85054999997</v>
      </c>
      <c r="F160" s="17">
        <f>SUM(F161:F162)</f>
        <v>0</v>
      </c>
      <c r="G160" s="17">
        <f>SUM(G161:G162)</f>
        <v>6947.5</v>
      </c>
      <c r="H160" s="17">
        <f>SUM(H161:H162)</f>
        <v>6947.5</v>
      </c>
      <c r="I160" s="17">
        <f>SUM(I161:I162)</f>
        <v>146218.95054999998</v>
      </c>
      <c r="J160" s="17">
        <f>'Отчет_лист 1'!H127</f>
        <v>148110</v>
      </c>
      <c r="K160" s="17">
        <f>'Отчет_лист 1'!I127</f>
        <v>145903.90000000002</v>
      </c>
    </row>
    <row r="161" spans="1:11">
      <c r="A161" s="151"/>
      <c r="B161" s="154"/>
      <c r="C161" s="151"/>
      <c r="D161" s="48" t="s">
        <v>43</v>
      </c>
      <c r="E161" s="24">
        <f t="shared" si="128"/>
        <v>299904.72811999999</v>
      </c>
      <c r="F161" s="17">
        <f>F159</f>
        <v>0</v>
      </c>
      <c r="G161" s="17">
        <v>6947.5</v>
      </c>
      <c r="H161" s="17">
        <v>6947.5</v>
      </c>
      <c r="I161" s="17">
        <v>142838.62811999998</v>
      </c>
      <c r="J161" s="17">
        <v>145377.1</v>
      </c>
      <c r="K161" s="17">
        <f>60002+67953.1+15216</f>
        <v>143171.1</v>
      </c>
    </row>
    <row r="162" spans="1:11">
      <c r="A162" s="152"/>
      <c r="B162" s="155"/>
      <c r="C162" s="152"/>
      <c r="D162" s="14" t="s">
        <v>46</v>
      </c>
      <c r="E162" s="24">
        <f t="shared" si="128"/>
        <v>6113.1224300000003</v>
      </c>
      <c r="F162" s="28">
        <v>0</v>
      </c>
      <c r="G162" s="28">
        <v>0</v>
      </c>
      <c r="H162" s="28">
        <v>0</v>
      </c>
      <c r="I162" s="17">
        <v>3380.3224300000002</v>
      </c>
      <c r="J162" s="17">
        <v>2732.9</v>
      </c>
      <c r="K162" s="28">
        <v>2732.8</v>
      </c>
    </row>
    <row r="163" spans="1:11">
      <c r="A163" s="156" t="s">
        <v>292</v>
      </c>
      <c r="B163" s="156"/>
      <c r="C163" s="107" t="s">
        <v>66</v>
      </c>
      <c r="D163" s="16" t="s">
        <v>44</v>
      </c>
      <c r="E163" s="24">
        <f t="shared" ref="E163:E166" si="136">F163+G163+H163+I163+K163</f>
        <v>437111.22129999998</v>
      </c>
      <c r="F163" s="17">
        <f t="shared" ref="F163:H163" si="137">SUM(F164:F166)</f>
        <v>0</v>
      </c>
      <c r="G163" s="17">
        <f t="shared" si="137"/>
        <v>35779.5</v>
      </c>
      <c r="H163" s="17">
        <f t="shared" si="137"/>
        <v>36697.554000000004</v>
      </c>
      <c r="I163" s="17">
        <f>SUM(I164:I166)</f>
        <v>175872.46729999999</v>
      </c>
      <c r="J163" s="17">
        <f>SUM(J164:J166)</f>
        <v>191172.4</v>
      </c>
      <c r="K163" s="17">
        <f>SUM(K164:K166)</f>
        <v>188761.69999999998</v>
      </c>
    </row>
    <row r="164" spans="1:11">
      <c r="A164" s="156"/>
      <c r="B164" s="156"/>
      <c r="C164" s="108"/>
      <c r="D164" s="48" t="s">
        <v>42</v>
      </c>
      <c r="E164" s="24">
        <f t="shared" si="136"/>
        <v>120364.87075</v>
      </c>
      <c r="F164" s="17">
        <f>F156</f>
        <v>0</v>
      </c>
      <c r="G164" s="17">
        <f t="shared" ref="G164:I164" si="138">G156</f>
        <v>28832</v>
      </c>
      <c r="H164" s="17">
        <f t="shared" si="138"/>
        <v>29750.054</v>
      </c>
      <c r="I164" s="17">
        <f t="shared" si="138"/>
        <v>29653.516749999999</v>
      </c>
      <c r="J164" s="17">
        <f>J156+J159</f>
        <v>32333.9</v>
      </c>
      <c r="K164" s="17">
        <f>K156+K159</f>
        <v>32129.3</v>
      </c>
    </row>
    <row r="165" spans="1:11">
      <c r="A165" s="156"/>
      <c r="B165" s="156"/>
      <c r="C165" s="108"/>
      <c r="D165" s="48" t="s">
        <v>43</v>
      </c>
      <c r="E165" s="24">
        <f t="shared" si="136"/>
        <v>310633.22811999999</v>
      </c>
      <c r="F165" s="17">
        <f t="shared" ref="F165:I166" si="139">F157</f>
        <v>0</v>
      </c>
      <c r="G165" s="17">
        <f t="shared" si="139"/>
        <v>6947.5</v>
      </c>
      <c r="H165" s="17">
        <f t="shared" si="139"/>
        <v>6947.5</v>
      </c>
      <c r="I165" s="17">
        <f t="shared" si="139"/>
        <v>142838.62811999998</v>
      </c>
      <c r="J165" s="17">
        <f>J157+J161</f>
        <v>156105.60000000001</v>
      </c>
      <c r="K165" s="17">
        <f>K157+K161</f>
        <v>153899.6</v>
      </c>
    </row>
    <row r="166" spans="1:11">
      <c r="A166" s="156"/>
      <c r="B166" s="156"/>
      <c r="C166" s="109"/>
      <c r="D166" s="16" t="s">
        <v>46</v>
      </c>
      <c r="E166" s="24">
        <f t="shared" si="136"/>
        <v>6113.1224300000003</v>
      </c>
      <c r="F166" s="17">
        <f t="shared" si="139"/>
        <v>0</v>
      </c>
      <c r="G166" s="17">
        <f t="shared" si="139"/>
        <v>0</v>
      </c>
      <c r="H166" s="17">
        <f t="shared" si="139"/>
        <v>0</v>
      </c>
      <c r="I166" s="17">
        <f t="shared" si="139"/>
        <v>3380.3224300000002</v>
      </c>
      <c r="J166" s="17">
        <f>J158+J162</f>
        <v>2732.9</v>
      </c>
      <c r="K166" s="17">
        <f>K158+K162</f>
        <v>2732.8</v>
      </c>
    </row>
    <row r="167" spans="1:11">
      <c r="A167" s="164" t="str">
        <f>'Отчет_лист 1'!A136:K136</f>
        <v>Задача 5. Обеспечение финансового сопровождения деятельности муниципальных организаций, подведомственных управлению образования администрации города Оренбурга</v>
      </c>
      <c r="B167" s="165"/>
      <c r="C167" s="165"/>
      <c r="D167" s="165"/>
      <c r="E167" s="165"/>
      <c r="F167" s="165"/>
      <c r="G167" s="165"/>
      <c r="H167" s="165"/>
      <c r="I167" s="165"/>
      <c r="J167" s="165"/>
      <c r="K167" s="166"/>
    </row>
    <row r="168" spans="1:11" ht="75" customHeight="1">
      <c r="A168" s="150" t="s">
        <v>33</v>
      </c>
      <c r="B168" s="153" t="s">
        <v>293</v>
      </c>
      <c r="C168" s="150" t="s">
        <v>66</v>
      </c>
      <c r="D168" s="48" t="s">
        <v>44</v>
      </c>
      <c r="E168" s="24">
        <f t="shared" si="128"/>
        <v>197034.71845000001</v>
      </c>
      <c r="F168" s="17">
        <f>SUM(F169:F170)</f>
        <v>0</v>
      </c>
      <c r="G168" s="17">
        <f>SUM(G169:G170)</f>
        <v>0</v>
      </c>
      <c r="H168" s="17">
        <f>SUM(H169:H170)</f>
        <v>0</v>
      </c>
      <c r="I168" s="17">
        <v>94465.418450000012</v>
      </c>
      <c r="J168" s="17">
        <f>'Отчет_лист 1'!H137</f>
        <v>102793</v>
      </c>
      <c r="K168" s="17">
        <f>'Отчет_лист 1'!I137</f>
        <v>102569.3</v>
      </c>
    </row>
    <row r="169" spans="1:11">
      <c r="A169" s="151"/>
      <c r="B169" s="154"/>
      <c r="C169" s="151"/>
      <c r="D169" s="48" t="s">
        <v>42</v>
      </c>
      <c r="E169" s="24">
        <f t="shared" si="128"/>
        <v>196604.36745000002</v>
      </c>
      <c r="F169" s="17">
        <v>0</v>
      </c>
      <c r="G169" s="17">
        <v>0</v>
      </c>
      <c r="H169" s="17">
        <v>0</v>
      </c>
      <c r="I169" s="17">
        <v>94079.367450000005</v>
      </c>
      <c r="J169" s="17">
        <v>102748.7</v>
      </c>
      <c r="K169" s="17">
        <v>102525</v>
      </c>
    </row>
    <row r="170" spans="1:11">
      <c r="A170" s="151"/>
      <c r="B170" s="154"/>
      <c r="C170" s="151"/>
      <c r="D170" s="48" t="s">
        <v>43</v>
      </c>
      <c r="E170" s="24">
        <f t="shared" si="128"/>
        <v>430.35100000000006</v>
      </c>
      <c r="F170" s="17">
        <v>0</v>
      </c>
      <c r="G170" s="17">
        <v>0</v>
      </c>
      <c r="H170" s="17">
        <v>0</v>
      </c>
      <c r="I170" s="17">
        <v>386.05100000000004</v>
      </c>
      <c r="J170" s="17">
        <v>44.3</v>
      </c>
      <c r="K170" s="17">
        <v>44.3</v>
      </c>
    </row>
    <row r="171" spans="1:11">
      <c r="A171" s="156" t="s">
        <v>294</v>
      </c>
      <c r="B171" s="156"/>
      <c r="C171" s="107" t="s">
        <v>66</v>
      </c>
      <c r="D171" s="16" t="s">
        <v>44</v>
      </c>
      <c r="E171" s="24">
        <f t="shared" si="128"/>
        <v>197034.71845000001</v>
      </c>
      <c r="F171" s="17">
        <f t="shared" ref="F171:K171" si="140">SUM(F172:F173)</f>
        <v>0</v>
      </c>
      <c r="G171" s="17">
        <f t="shared" si="140"/>
        <v>0</v>
      </c>
      <c r="H171" s="17">
        <f t="shared" si="140"/>
        <v>0</v>
      </c>
      <c r="I171" s="17">
        <f t="shared" si="140"/>
        <v>94465.418450000012</v>
      </c>
      <c r="J171" s="17">
        <f t="shared" si="140"/>
        <v>102793</v>
      </c>
      <c r="K171" s="17">
        <f t="shared" si="140"/>
        <v>102569.3</v>
      </c>
    </row>
    <row r="172" spans="1:11">
      <c r="A172" s="156"/>
      <c r="B172" s="156"/>
      <c r="C172" s="108"/>
      <c r="D172" s="48" t="s">
        <v>42</v>
      </c>
      <c r="E172" s="24">
        <f t="shared" si="128"/>
        <v>196604.36745000002</v>
      </c>
      <c r="F172" s="17">
        <f>F169</f>
        <v>0</v>
      </c>
      <c r="G172" s="17">
        <f t="shared" ref="G172:K172" si="141">G169</f>
        <v>0</v>
      </c>
      <c r="H172" s="17">
        <f t="shared" si="141"/>
        <v>0</v>
      </c>
      <c r="I172" s="17">
        <f t="shared" si="141"/>
        <v>94079.367450000005</v>
      </c>
      <c r="J172" s="17">
        <f t="shared" si="141"/>
        <v>102748.7</v>
      </c>
      <c r="K172" s="17">
        <f t="shared" si="141"/>
        <v>102525</v>
      </c>
    </row>
    <row r="173" spans="1:11">
      <c r="A173" s="156"/>
      <c r="B173" s="156"/>
      <c r="C173" s="108"/>
      <c r="D173" s="48" t="s">
        <v>43</v>
      </c>
      <c r="E173" s="24">
        <f t="shared" si="128"/>
        <v>430.35100000000006</v>
      </c>
      <c r="F173" s="17">
        <f>F170</f>
        <v>0</v>
      </c>
      <c r="G173" s="17">
        <f t="shared" ref="G173:K173" si="142">G170</f>
        <v>0</v>
      </c>
      <c r="H173" s="17">
        <f t="shared" si="142"/>
        <v>0</v>
      </c>
      <c r="I173" s="17">
        <f t="shared" si="142"/>
        <v>386.05100000000004</v>
      </c>
      <c r="J173" s="17">
        <f t="shared" si="142"/>
        <v>44.3</v>
      </c>
      <c r="K173" s="17">
        <f t="shared" si="142"/>
        <v>44.3</v>
      </c>
    </row>
    <row r="174" spans="1:11">
      <c r="A174" s="146" t="s">
        <v>47</v>
      </c>
      <c r="B174" s="147"/>
      <c r="C174" s="145"/>
      <c r="D174" s="16" t="s">
        <v>44</v>
      </c>
      <c r="E174" s="24">
        <f>F174+G174+H174+I174+K174</f>
        <v>32270108.594390001</v>
      </c>
      <c r="F174" s="17">
        <f t="shared" ref="F174:I174" si="143">F175+F176+F177</f>
        <v>4485045.8</v>
      </c>
      <c r="G174" s="17">
        <f t="shared" si="143"/>
        <v>5804890.5</v>
      </c>
      <c r="H174" s="17">
        <f t="shared" si="143"/>
        <v>6574772.4539999999</v>
      </c>
      <c r="I174" s="17">
        <f t="shared" si="143"/>
        <v>7727014.8729600003</v>
      </c>
      <c r="J174" s="17">
        <f t="shared" ref="J174:K174" si="144">J175+J176+J177</f>
        <v>7700710.9000000004</v>
      </c>
      <c r="K174" s="17">
        <f t="shared" si="144"/>
        <v>7678384.9674299983</v>
      </c>
    </row>
    <row r="175" spans="1:11">
      <c r="A175" s="148"/>
      <c r="B175" s="149"/>
      <c r="C175" s="145"/>
      <c r="D175" s="16" t="s">
        <v>42</v>
      </c>
      <c r="E175" s="24">
        <f t="shared" ref="E175:E189" si="145">F175+G175+H175+I175+K175</f>
        <v>12416113.40625</v>
      </c>
      <c r="F175" s="17">
        <f t="shared" ref="F175:I175" si="146">F179+F183+F187</f>
        <v>1980016</v>
      </c>
      <c r="G175" s="17">
        <f t="shared" si="146"/>
        <v>2410653.6999999997</v>
      </c>
      <c r="H175" s="17">
        <f t="shared" si="146"/>
        <v>2456358.3539999998</v>
      </c>
      <c r="I175" s="17">
        <f t="shared" si="146"/>
        <v>2590117.7398000001</v>
      </c>
      <c r="J175" s="17">
        <f t="shared" ref="J175:J177" si="147">J179+J183+J187</f>
        <v>2981503.7000000007</v>
      </c>
      <c r="K175" s="17">
        <f t="shared" ref="K175" si="148">K179+K183+K187</f>
        <v>2978967.6124499994</v>
      </c>
    </row>
    <row r="176" spans="1:11">
      <c r="A176" s="148"/>
      <c r="B176" s="149"/>
      <c r="C176" s="145"/>
      <c r="D176" s="16" t="s">
        <v>43</v>
      </c>
      <c r="E176" s="24">
        <f t="shared" si="145"/>
        <v>17638575.940709997</v>
      </c>
      <c r="F176" s="17">
        <f t="shared" ref="F176:I176" si="149">F180+F184+F188</f>
        <v>2505029.7999999998</v>
      </c>
      <c r="G176" s="17">
        <f t="shared" si="149"/>
        <v>2854830.4</v>
      </c>
      <c r="H176" s="17">
        <f t="shared" si="149"/>
        <v>3640601.5000000005</v>
      </c>
      <c r="I176" s="17">
        <f t="shared" si="149"/>
        <v>4404374.2107299995</v>
      </c>
      <c r="J176" s="17">
        <f t="shared" si="147"/>
        <v>4253529.8</v>
      </c>
      <c r="K176" s="17">
        <f t="shared" ref="K176" si="150">K180+K184+K188</f>
        <v>4233740.0299799992</v>
      </c>
    </row>
    <row r="177" spans="1:11">
      <c r="A177" s="148"/>
      <c r="B177" s="149"/>
      <c r="C177" s="145"/>
      <c r="D177" s="16" t="s">
        <v>46</v>
      </c>
      <c r="E177" s="24">
        <f t="shared" si="145"/>
        <v>2215419.24743</v>
      </c>
      <c r="F177" s="19">
        <f t="shared" ref="F177:I177" si="151">F181+F185+F189</f>
        <v>0</v>
      </c>
      <c r="G177" s="19">
        <f t="shared" si="151"/>
        <v>539406.4</v>
      </c>
      <c r="H177" s="19">
        <f t="shared" si="151"/>
        <v>477812.60000000003</v>
      </c>
      <c r="I177" s="19">
        <f t="shared" si="151"/>
        <v>732522.92243000004</v>
      </c>
      <c r="J177" s="19">
        <f t="shared" si="147"/>
        <v>465677.4</v>
      </c>
      <c r="K177" s="19">
        <f t="shared" ref="K177" si="152">K181+K185+K189</f>
        <v>465677.32500000001</v>
      </c>
    </row>
    <row r="178" spans="1:11">
      <c r="A178" s="148"/>
      <c r="B178" s="149"/>
      <c r="C178" s="145" t="s">
        <v>20</v>
      </c>
      <c r="D178" s="16" t="s">
        <v>44</v>
      </c>
      <c r="E178" s="24">
        <f t="shared" si="145"/>
        <v>28367027.15439</v>
      </c>
      <c r="F178" s="19">
        <f t="shared" ref="F178:I178" si="153">SUM(F179:F181)</f>
        <v>4485045.8</v>
      </c>
      <c r="G178" s="19">
        <f t="shared" si="153"/>
        <v>5255119.3</v>
      </c>
      <c r="H178" s="19">
        <f t="shared" si="153"/>
        <v>5567860.8540000003</v>
      </c>
      <c r="I178" s="19">
        <f t="shared" si="153"/>
        <v>6077043.9329599999</v>
      </c>
      <c r="J178" s="19">
        <f t="shared" ref="J178:K178" si="154">SUM(J179:J181)</f>
        <v>6988408.0999999996</v>
      </c>
      <c r="K178" s="19">
        <f t="shared" si="154"/>
        <v>6981957.2674299991</v>
      </c>
    </row>
    <row r="179" spans="1:11">
      <c r="A179" s="148"/>
      <c r="B179" s="149"/>
      <c r="C179" s="145"/>
      <c r="D179" s="16" t="s">
        <v>42</v>
      </c>
      <c r="E179" s="24">
        <f t="shared" si="145"/>
        <v>12306038.276250001</v>
      </c>
      <c r="F179" s="17">
        <f t="shared" ref="F179:I179" si="155">F62+F125+F150+F164+F169</f>
        <v>1980016</v>
      </c>
      <c r="G179" s="17">
        <f t="shared" si="155"/>
        <v>2396752.4</v>
      </c>
      <c r="H179" s="17">
        <f t="shared" si="155"/>
        <v>2446033.3539999998</v>
      </c>
      <c r="I179" s="17">
        <f t="shared" si="155"/>
        <v>2542630.9098</v>
      </c>
      <c r="J179" s="17">
        <f>J62+J125+J150+J164+J169</f>
        <v>2942498.5000000005</v>
      </c>
      <c r="K179" s="17">
        <f>K62+K125+K150+K164+K169</f>
        <v>2940605.6124499994</v>
      </c>
    </row>
    <row r="180" spans="1:11">
      <c r="A180" s="148"/>
      <c r="B180" s="149"/>
      <c r="C180" s="145"/>
      <c r="D180" s="16" t="s">
        <v>43</v>
      </c>
      <c r="E180" s="24">
        <f t="shared" si="145"/>
        <v>16046488.430709999</v>
      </c>
      <c r="F180" s="17">
        <f t="shared" ref="F180:I180" si="156">F63+F126+F151+F165+F170</f>
        <v>2505029.7999999998</v>
      </c>
      <c r="G180" s="17">
        <f t="shared" si="156"/>
        <v>2854830.4</v>
      </c>
      <c r="H180" s="17">
        <f t="shared" si="156"/>
        <v>3117484.8000000003</v>
      </c>
      <c r="I180" s="17">
        <f t="shared" si="156"/>
        <v>3530696.7007299997</v>
      </c>
      <c r="J180" s="17">
        <f>J63+J126+J151+J165+J170</f>
        <v>4043004.5999999996</v>
      </c>
      <c r="K180" s="17">
        <f>K63+K126+K151+K165+K170</f>
        <v>4038446.7299799994</v>
      </c>
    </row>
    <row r="181" spans="1:11">
      <c r="A181" s="148"/>
      <c r="B181" s="149"/>
      <c r="C181" s="145"/>
      <c r="D181" s="16" t="s">
        <v>46</v>
      </c>
      <c r="E181" s="24">
        <f t="shared" si="145"/>
        <v>14500.44743</v>
      </c>
      <c r="F181" s="19">
        <f t="shared" ref="F181:I181" si="157">F127+F152+F166</f>
        <v>0</v>
      </c>
      <c r="G181" s="19">
        <f t="shared" si="157"/>
        <v>3536.5</v>
      </c>
      <c r="H181" s="19">
        <f t="shared" si="157"/>
        <v>4342.7</v>
      </c>
      <c r="I181" s="19">
        <f t="shared" si="157"/>
        <v>3716.3224300000002</v>
      </c>
      <c r="J181" s="19">
        <f>J127+J152+J166</f>
        <v>2905</v>
      </c>
      <c r="K181" s="19">
        <f>K127+K152+K166</f>
        <v>2904.9250000000002</v>
      </c>
    </row>
    <row r="182" spans="1:11">
      <c r="A182" s="148"/>
      <c r="B182" s="149"/>
      <c r="C182" s="145" t="s">
        <v>61</v>
      </c>
      <c r="D182" s="16" t="s">
        <v>44</v>
      </c>
      <c r="E182" s="24">
        <f t="shared" si="145"/>
        <v>3903019.4400000004</v>
      </c>
      <c r="F182" s="19">
        <f t="shared" ref="F182:I182" si="158">SUM(F183:F185)</f>
        <v>0</v>
      </c>
      <c r="G182" s="19">
        <f t="shared" si="158"/>
        <v>549771.20000000007</v>
      </c>
      <c r="H182" s="19">
        <f t="shared" si="158"/>
        <v>1006911.6</v>
      </c>
      <c r="I182" s="19">
        <f t="shared" si="158"/>
        <v>1649970.94</v>
      </c>
      <c r="J182" s="19">
        <f t="shared" ref="J182:K182" si="159">SUM(J183:J185)</f>
        <v>704365.7</v>
      </c>
      <c r="K182" s="19">
        <f t="shared" si="159"/>
        <v>696365.7</v>
      </c>
    </row>
    <row r="183" spans="1:11">
      <c r="A183" s="148"/>
      <c r="B183" s="149"/>
      <c r="C183" s="145"/>
      <c r="D183" s="16" t="s">
        <v>42</v>
      </c>
      <c r="E183" s="24">
        <f t="shared" si="145"/>
        <v>110013.13</v>
      </c>
      <c r="F183" s="19">
        <f t="shared" ref="F183:I183" si="160">F65+F129</f>
        <v>0</v>
      </c>
      <c r="G183" s="19">
        <f t="shared" si="160"/>
        <v>13901.3</v>
      </c>
      <c r="H183" s="19">
        <f t="shared" si="160"/>
        <v>10325</v>
      </c>
      <c r="I183" s="19">
        <f t="shared" si="160"/>
        <v>47486.83</v>
      </c>
      <c r="J183" s="19">
        <f t="shared" ref="J183:J185" si="161">J65+J129</f>
        <v>38740</v>
      </c>
      <c r="K183" s="19">
        <f t="shared" ref="K183" si="162">K65+K129</f>
        <v>38300</v>
      </c>
    </row>
    <row r="184" spans="1:11">
      <c r="A184" s="148"/>
      <c r="B184" s="149"/>
      <c r="C184" s="145"/>
      <c r="D184" s="16" t="s">
        <v>43</v>
      </c>
      <c r="E184" s="24">
        <f t="shared" si="145"/>
        <v>1592087.51</v>
      </c>
      <c r="F184" s="19">
        <f t="shared" ref="F184:I184" si="163">F66+F130</f>
        <v>0</v>
      </c>
      <c r="G184" s="19">
        <f t="shared" si="163"/>
        <v>0</v>
      </c>
      <c r="H184" s="19">
        <f t="shared" si="163"/>
        <v>523116.7</v>
      </c>
      <c r="I184" s="19">
        <f t="shared" si="163"/>
        <v>873677.51</v>
      </c>
      <c r="J184" s="19">
        <f t="shared" si="161"/>
        <v>202853.3</v>
      </c>
      <c r="K184" s="19">
        <f t="shared" ref="K184" si="164">K66+K130</f>
        <v>195293.3</v>
      </c>
    </row>
    <row r="185" spans="1:11">
      <c r="A185" s="148"/>
      <c r="B185" s="149"/>
      <c r="C185" s="145"/>
      <c r="D185" s="16" t="s">
        <v>46</v>
      </c>
      <c r="E185" s="24">
        <f t="shared" si="145"/>
        <v>2200918.8000000003</v>
      </c>
      <c r="F185" s="19">
        <f t="shared" ref="F185:I185" si="165">F67+F131</f>
        <v>0</v>
      </c>
      <c r="G185" s="19">
        <f t="shared" si="165"/>
        <v>535869.9</v>
      </c>
      <c r="H185" s="19">
        <f t="shared" si="165"/>
        <v>473469.9</v>
      </c>
      <c r="I185" s="19">
        <f t="shared" si="165"/>
        <v>728806.60000000009</v>
      </c>
      <c r="J185" s="19">
        <f t="shared" si="161"/>
        <v>462772.4</v>
      </c>
      <c r="K185" s="19">
        <f t="shared" ref="K185" si="166">K67+K131</f>
        <v>462772.4</v>
      </c>
    </row>
    <row r="186" spans="1:11">
      <c r="A186" s="148"/>
      <c r="B186" s="149"/>
      <c r="C186" s="145" t="s">
        <v>256</v>
      </c>
      <c r="D186" s="16" t="s">
        <v>44</v>
      </c>
      <c r="E186" s="24">
        <f t="shared" si="145"/>
        <v>62</v>
      </c>
      <c r="F186" s="19">
        <f t="shared" ref="F186" si="167">SUM(F187:F189)</f>
        <v>0</v>
      </c>
      <c r="G186" s="19">
        <f t="shared" ref="G186" si="168">SUM(G187:G189)</f>
        <v>0</v>
      </c>
      <c r="H186" s="19">
        <f t="shared" ref="H186" si="169">SUM(H187:H189)</f>
        <v>0</v>
      </c>
      <c r="I186" s="19">
        <f t="shared" ref="I186" si="170">SUM(I187:I189)</f>
        <v>0</v>
      </c>
      <c r="J186" s="19">
        <f t="shared" ref="J186" si="171">SUM(J187:J189)</f>
        <v>7937.0999999999995</v>
      </c>
      <c r="K186" s="19">
        <f t="shared" ref="K186" si="172">SUM(K187:K189)</f>
        <v>62</v>
      </c>
    </row>
    <row r="187" spans="1:11">
      <c r="A187" s="148"/>
      <c r="B187" s="149"/>
      <c r="C187" s="145"/>
      <c r="D187" s="16" t="s">
        <v>42</v>
      </c>
      <c r="E187" s="24">
        <f t="shared" si="145"/>
        <v>62</v>
      </c>
      <c r="F187" s="19">
        <f t="shared" ref="F187:I187" si="173">F69+F133</f>
        <v>0</v>
      </c>
      <c r="G187" s="19">
        <f t="shared" si="173"/>
        <v>0</v>
      </c>
      <c r="H187" s="19">
        <f t="shared" si="173"/>
        <v>0</v>
      </c>
      <c r="I187" s="19">
        <f t="shared" si="173"/>
        <v>0</v>
      </c>
      <c r="J187" s="19">
        <f t="shared" ref="J187:K187" si="174">J69+J133</f>
        <v>265.20000000000005</v>
      </c>
      <c r="K187" s="19">
        <f t="shared" si="174"/>
        <v>62</v>
      </c>
    </row>
    <row r="188" spans="1:11">
      <c r="A188" s="148"/>
      <c r="B188" s="149"/>
      <c r="C188" s="145"/>
      <c r="D188" s="16" t="s">
        <v>43</v>
      </c>
      <c r="E188" s="24">
        <f t="shared" si="145"/>
        <v>0</v>
      </c>
      <c r="F188" s="19">
        <f t="shared" ref="F188:I188" si="175">F70+F134</f>
        <v>0</v>
      </c>
      <c r="G188" s="19">
        <f t="shared" si="175"/>
        <v>0</v>
      </c>
      <c r="H188" s="19">
        <f t="shared" si="175"/>
        <v>0</v>
      </c>
      <c r="I188" s="19">
        <f t="shared" si="175"/>
        <v>0</v>
      </c>
      <c r="J188" s="19">
        <f t="shared" ref="J188:K189" si="176">J70+J134</f>
        <v>7671.9</v>
      </c>
      <c r="K188" s="19">
        <f t="shared" si="176"/>
        <v>0</v>
      </c>
    </row>
    <row r="189" spans="1:11">
      <c r="A189" s="148"/>
      <c r="B189" s="149"/>
      <c r="C189" s="145"/>
      <c r="D189" s="16" t="s">
        <v>46</v>
      </c>
      <c r="E189" s="24">
        <f t="shared" si="145"/>
        <v>0</v>
      </c>
      <c r="F189" s="19">
        <f t="shared" ref="F189:I189" si="177">F71+F135</f>
        <v>0</v>
      </c>
      <c r="G189" s="19">
        <f t="shared" si="177"/>
        <v>0</v>
      </c>
      <c r="H189" s="19">
        <f t="shared" si="177"/>
        <v>0</v>
      </c>
      <c r="I189" s="19">
        <f t="shared" si="177"/>
        <v>0</v>
      </c>
      <c r="J189" s="19">
        <f t="shared" si="176"/>
        <v>0</v>
      </c>
      <c r="K189" s="19">
        <f t="shared" si="176"/>
        <v>0</v>
      </c>
    </row>
  </sheetData>
  <mergeCells count="106">
    <mergeCell ref="A1:K1"/>
    <mergeCell ref="A168:A170"/>
    <mergeCell ref="B168:B170"/>
    <mergeCell ref="C168:C170"/>
    <mergeCell ref="C64:C67"/>
    <mergeCell ref="C57:C60"/>
    <mergeCell ref="C92:C95"/>
    <mergeCell ref="C128:C130"/>
    <mergeCell ref="C124:C127"/>
    <mergeCell ref="B74:B76"/>
    <mergeCell ref="C74:C76"/>
    <mergeCell ref="A92:A95"/>
    <mergeCell ref="A97:A99"/>
    <mergeCell ref="B97:B99"/>
    <mergeCell ref="C97:C99"/>
    <mergeCell ref="C100:C103"/>
    <mergeCell ref="B100:B103"/>
    <mergeCell ref="C120:C123"/>
    <mergeCell ref="A100:A103"/>
    <mergeCell ref="C86:C89"/>
    <mergeCell ref="C61:C63"/>
    <mergeCell ref="A3:A4"/>
    <mergeCell ref="B3:B4"/>
    <mergeCell ref="E3:K3"/>
    <mergeCell ref="C3:C4"/>
    <mergeCell ref="D3:D4"/>
    <mergeCell ref="B86:B89"/>
    <mergeCell ref="A86:A89"/>
    <mergeCell ref="A22:A24"/>
    <mergeCell ref="B22:B24"/>
    <mergeCell ref="C22:C24"/>
    <mergeCell ref="A25:A27"/>
    <mergeCell ref="B25:B27"/>
    <mergeCell ref="C25:C27"/>
    <mergeCell ref="C7:C9"/>
    <mergeCell ref="A16:A19"/>
    <mergeCell ref="B16:B19"/>
    <mergeCell ref="C16:C19"/>
    <mergeCell ref="C49:C52"/>
    <mergeCell ref="B29:B32"/>
    <mergeCell ref="C29:C32"/>
    <mergeCell ref="B41:B44"/>
    <mergeCell ref="A41:A44"/>
    <mergeCell ref="C41:C44"/>
    <mergeCell ref="A5:K5"/>
    <mergeCell ref="A7:A13"/>
    <mergeCell ref="B7:B13"/>
    <mergeCell ref="C10:C12"/>
    <mergeCell ref="B6:D6"/>
    <mergeCell ref="B28:D28"/>
    <mergeCell ref="B73:D73"/>
    <mergeCell ref="C104:C107"/>
    <mergeCell ref="B104:B107"/>
    <mergeCell ref="B92:B95"/>
    <mergeCell ref="A72:K72"/>
    <mergeCell ref="A29:A40"/>
    <mergeCell ref="A74:A85"/>
    <mergeCell ref="C82:C85"/>
    <mergeCell ref="C78:C81"/>
    <mergeCell ref="A53:A56"/>
    <mergeCell ref="B53:B56"/>
    <mergeCell ref="C53:C56"/>
    <mergeCell ref="C68:C71"/>
    <mergeCell ref="A57:B71"/>
    <mergeCell ref="A45:A48"/>
    <mergeCell ref="B45:B48"/>
    <mergeCell ref="C45:C48"/>
    <mergeCell ref="A49:A52"/>
    <mergeCell ref="B49:B52"/>
    <mergeCell ref="A108:A111"/>
    <mergeCell ref="A112:A115"/>
    <mergeCell ref="B116:B119"/>
    <mergeCell ref="C116:C119"/>
    <mergeCell ref="B138:B140"/>
    <mergeCell ref="A138:A140"/>
    <mergeCell ref="C138:C140"/>
    <mergeCell ref="A149:B152"/>
    <mergeCell ref="C149:C152"/>
    <mergeCell ref="A145:A148"/>
    <mergeCell ref="B145:B148"/>
    <mergeCell ref="C147:C148"/>
    <mergeCell ref="C108:C111"/>
    <mergeCell ref="C112:C115"/>
    <mergeCell ref="B108:B111"/>
    <mergeCell ref="B112:B115"/>
    <mergeCell ref="C132:C134"/>
    <mergeCell ref="A120:B135"/>
    <mergeCell ref="B154:D154"/>
    <mergeCell ref="A136:K136"/>
    <mergeCell ref="B137:D137"/>
    <mergeCell ref="A155:A158"/>
    <mergeCell ref="B155:B158"/>
    <mergeCell ref="C155:C158"/>
    <mergeCell ref="A167:K167"/>
    <mergeCell ref="C186:C189"/>
    <mergeCell ref="A174:B189"/>
    <mergeCell ref="A160:A162"/>
    <mergeCell ref="C160:C162"/>
    <mergeCell ref="B160:B162"/>
    <mergeCell ref="A163:B166"/>
    <mergeCell ref="C163:C166"/>
    <mergeCell ref="C178:C181"/>
    <mergeCell ref="C182:C185"/>
    <mergeCell ref="C174:C177"/>
    <mergeCell ref="A171:B173"/>
    <mergeCell ref="C171:C17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4" fitToHeight="0" orientation="landscape" r:id="rId1"/>
  <rowBreaks count="5" manualBreakCount="5">
    <brk id="40" max="10" man="1"/>
    <brk id="71" max="10" man="1"/>
    <brk id="103" max="10" man="1"/>
    <brk id="135" max="10" man="1"/>
    <brk id="1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Отчет_лист 1</vt:lpstr>
      <vt:lpstr>Отчет_лист 2</vt:lpstr>
      <vt:lpstr>'Отчет_лист 1'!Заголовки_для_печати</vt:lpstr>
      <vt:lpstr>'Отчет_лист 2'!Заголовки_для_печати</vt:lpstr>
      <vt:lpstr>'Отчет_лист 1'!Область_печати</vt:lpstr>
      <vt:lpstr>'Отчет_лист 2'!Область_печати</vt:lpstr>
    </vt:vector>
  </TitlesOfParts>
  <Company>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</dc:creator>
  <cp:lastModifiedBy>user</cp:lastModifiedBy>
  <cp:lastPrinted>2020-03-03T06:13:00Z</cp:lastPrinted>
  <dcterms:created xsi:type="dcterms:W3CDTF">2013-01-20T07:12:03Z</dcterms:created>
  <dcterms:modified xsi:type="dcterms:W3CDTF">2020-03-03T07:13:33Z</dcterms:modified>
</cp:coreProperties>
</file>